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285" yWindow="105" windowWidth="15480" windowHeight="7695"/>
  </bookViews>
  <sheets>
    <sheet name="Index" sheetId="63" r:id="rId1"/>
    <sheet name="Page 20" sheetId="51" r:id="rId2"/>
    <sheet name="Page 21" sheetId="52" r:id="rId3"/>
    <sheet name="Page 22" sheetId="53" r:id="rId4"/>
    <sheet name="Page 23" sheetId="54" r:id="rId5"/>
    <sheet name="Page 26" sheetId="55" r:id="rId6"/>
    <sheet name="Page 31" sheetId="47" r:id="rId7"/>
    <sheet name="Page 32" sheetId="48" r:id="rId8"/>
    <sheet name="Page 33" sheetId="49" r:id="rId9"/>
    <sheet name="Page 34" sheetId="56" r:id="rId10"/>
    <sheet name="Page 37" sheetId="50" r:id="rId11"/>
    <sheet name="Page 39" sheetId="41" r:id="rId12"/>
    <sheet name="Page 40" sheetId="42" r:id="rId13"/>
    <sheet name="Page 41" sheetId="43" r:id="rId14"/>
    <sheet name="Page 42" sheetId="44" r:id="rId15"/>
    <sheet name="Page 43" sheetId="46" r:id="rId16"/>
    <sheet name="Page 44" sheetId="45" r:id="rId17"/>
    <sheet name="Page 44 bottom" sheetId="57" r:id="rId18"/>
    <sheet name="Page 45" sheetId="58" r:id="rId19"/>
    <sheet name="Page 45 bottom" sheetId="59" r:id="rId20"/>
    <sheet name="Appendix, page 55" sheetId="60" r:id="rId21"/>
    <sheet name="Appendix, page 56" sheetId="61" r:id="rId22"/>
    <sheet name="Appendix, page 57" sheetId="62" r:id="rId23"/>
  </sheets>
  <functionGroups builtInGroupCount="17"/>
  <externalReferences>
    <externalReference r:id="rId24"/>
  </externalReferences>
  <definedNames>
    <definedName name="Beg_Bal" localSheetId="12">#REF!</definedName>
    <definedName name="Beg_Bal" localSheetId="13">#REF!</definedName>
    <definedName name="Beg_Bal" localSheetId="15">#REF!</definedName>
    <definedName name="Beg_Bal" localSheetId="16">#REF!</definedName>
    <definedName name="Beg_Bal">#REF!</definedName>
    <definedName name="Cum_Int" localSheetId="12">#REF!</definedName>
    <definedName name="Cum_Int" localSheetId="13">#REF!</definedName>
    <definedName name="Cum_Int" localSheetId="15">#REF!</definedName>
    <definedName name="Cum_Int" localSheetId="16">#REF!</definedName>
    <definedName name="Cum_Int">#REF!</definedName>
    <definedName name="Data" localSheetId="12">#REF!</definedName>
    <definedName name="Data" localSheetId="13">#REF!</definedName>
    <definedName name="Data" localSheetId="15">#REF!</definedName>
    <definedName name="Data" localSheetId="16">#REF!</definedName>
    <definedName name="Data">#REF!</definedName>
    <definedName name="End_Bal" localSheetId="12">#REF!</definedName>
    <definedName name="End_Bal" localSheetId="13">#REF!</definedName>
    <definedName name="End_Bal" localSheetId="15">#REF!</definedName>
    <definedName name="End_Bal" localSheetId="16">#REF!</definedName>
    <definedName name="End_Bal">#REF!</definedName>
    <definedName name="Extra_Pay" localSheetId="12">#REF!</definedName>
    <definedName name="Extra_Pay" localSheetId="13">#REF!</definedName>
    <definedName name="Extra_Pay" localSheetId="15">#REF!</definedName>
    <definedName name="Extra_Pay" localSheetId="16">#REF!</definedName>
    <definedName name="Extra_Pay">#REF!</definedName>
    <definedName name="Full_Print" localSheetId="12">#REF!</definedName>
    <definedName name="Full_Print" localSheetId="13">#REF!</definedName>
    <definedName name="Full_Print" localSheetId="15">#REF!</definedName>
    <definedName name="Full_Print" localSheetId="16">#REF!</definedName>
    <definedName name="Full_Print">#REF!</definedName>
    <definedName name="Header_Row" localSheetId="12">ROW(#REF!)</definedName>
    <definedName name="Header_Row" localSheetId="13">ROW(#REF!)</definedName>
    <definedName name="Header_Row" localSheetId="15">ROW(#REF!)</definedName>
    <definedName name="Header_Row" localSheetId="16">ROW(#REF!)</definedName>
    <definedName name="Header_Row">ROW(#REF!)</definedName>
    <definedName name="Int" localSheetId="12">#REF!</definedName>
    <definedName name="Int" localSheetId="13">#REF!</definedName>
    <definedName name="Int" localSheetId="15">#REF!</definedName>
    <definedName name="Int" localSheetId="16">#REF!</definedName>
    <definedName name="Int">#REF!</definedName>
    <definedName name="Interest_Rate" localSheetId="12">#REF!</definedName>
    <definedName name="Interest_Rate" localSheetId="13">#REF!</definedName>
    <definedName name="Interest_Rate" localSheetId="15">#REF!</definedName>
    <definedName name="Interest_Rate" localSheetId="16">#REF!</definedName>
    <definedName name="Interest_Rate">#REF!</definedName>
    <definedName name="Last_Row" localSheetId="12">IF('Page 40'!Values_Entered,'Page 40'!Header_Row+'Page 40'!Number_of_Payments,'Page 40'!Header_Row)</definedName>
    <definedName name="Last_Row" localSheetId="13">IF('Page 41'!Values_Entered,'Page 41'!Header_Row+'Page 41'!Number_of_Payments,'Page 41'!Header_Row)</definedName>
    <definedName name="Last_Row" localSheetId="15">IF('Page 43'!Values_Entered,'Page 43'!Header_Row+'Page 43'!Number_of_Payments,'Page 43'!Header_Row)</definedName>
    <definedName name="Last_Row" localSheetId="16">IF('Page 44'!Values_Entered,'Page 44'!Header_Row+'Page 44'!Number_of_Payments,'Page 44'!Header_Row)</definedName>
    <definedName name="Last_Row">IF(Values_Entered,Header_Row+Number_of_Payments,Header_Row)</definedName>
    <definedName name="Loan_Amount" localSheetId="12">#REF!</definedName>
    <definedName name="Loan_Amount" localSheetId="13">#REF!</definedName>
    <definedName name="Loan_Amount" localSheetId="15">#REF!</definedName>
    <definedName name="Loan_Amount" localSheetId="16">#REF!</definedName>
    <definedName name="Loan_Amount">#REF!</definedName>
    <definedName name="Loan_Start" localSheetId="12">#REF!</definedName>
    <definedName name="Loan_Start" localSheetId="13">#REF!</definedName>
    <definedName name="Loan_Start" localSheetId="15">#REF!</definedName>
    <definedName name="Loan_Start" localSheetId="16">#REF!</definedName>
    <definedName name="Loan_Start">#REF!</definedName>
    <definedName name="Loan_Years" localSheetId="12">#REF!</definedName>
    <definedName name="Loan_Years" localSheetId="13">#REF!</definedName>
    <definedName name="Loan_Years" localSheetId="15">#REF!</definedName>
    <definedName name="Loan_Years" localSheetId="16">#REF!</definedName>
    <definedName name="Loan_Years">#REF!</definedName>
    <definedName name="Num_Pmt_Per_Year" localSheetId="12">#REF!</definedName>
    <definedName name="Num_Pmt_Per_Year" localSheetId="13">#REF!</definedName>
    <definedName name="Num_Pmt_Per_Year" localSheetId="15">#REF!</definedName>
    <definedName name="Num_Pmt_Per_Year" localSheetId="16">#REF!</definedName>
    <definedName name="Num_Pmt_Per_Year">#REF!</definedName>
    <definedName name="Number_of_Payments" localSheetId="12">MATCH(0.01,'Page 40'!End_Bal,-1)+1</definedName>
    <definedName name="Number_of_Payments" localSheetId="13">MATCH(0.01,'Page 41'!End_Bal,-1)+1</definedName>
    <definedName name="Number_of_Payments" localSheetId="15">MATCH(0.01,'Page 43'!End_Bal,-1)+1</definedName>
    <definedName name="Number_of_Payments" localSheetId="16">MATCH(0.01,'Page 44'!End_Bal,-1)+1</definedName>
    <definedName name="Number_of_Payments">MATCH(0.01,End_Bal,-1)+1</definedName>
    <definedName name="Pay_Date" localSheetId="12">#REF!</definedName>
    <definedName name="Pay_Date" localSheetId="13">#REF!</definedName>
    <definedName name="Pay_Date" localSheetId="15">#REF!</definedName>
    <definedName name="Pay_Date" localSheetId="16">#REF!</definedName>
    <definedName name="Pay_Date">#REF!</definedName>
    <definedName name="Pay_Num" localSheetId="12">#REF!</definedName>
    <definedName name="Pay_Num" localSheetId="13">#REF!</definedName>
    <definedName name="Pay_Num" localSheetId="15">#REF!</definedName>
    <definedName name="Pay_Num" localSheetId="16">#REF!</definedName>
    <definedName name="Pay_Num">#REF!</definedName>
    <definedName name="Payment_Date" localSheetId="12">DATE(YEAR('Page 40'!Loan_Start),MONTH('Page 40'!Loan_Start)+Payment_Number,DAY('Page 40'!Loan_Start))</definedName>
    <definedName name="Payment_Date" localSheetId="13">DATE(YEAR('Page 41'!Loan_Start),MONTH('Page 41'!Loan_Start)+Payment_Number,DAY('Page 41'!Loan_Start))</definedName>
    <definedName name="Payment_Date" localSheetId="15">DATE(YEAR('Page 43'!Loan_Start),MONTH('Page 43'!Loan_Start)+Payment_Number,DAY('Page 43'!Loan_Start))</definedName>
    <definedName name="Payment_Date" localSheetId="16">DATE(YEAR('Page 44'!Loan_Start),MONTH('Page 44'!Loan_Start)+Payment_Number,DAY('Page 44'!Loan_Start))</definedName>
    <definedName name="Payment_Date">DATE(YEAR(Loan_Start),MONTH(Loan_Start)+Payment_Number,DAY(Loan_Start))</definedName>
    <definedName name="Princ" localSheetId="12">#REF!</definedName>
    <definedName name="Princ" localSheetId="13">#REF!</definedName>
    <definedName name="Princ" localSheetId="15">#REF!</definedName>
    <definedName name="Princ" localSheetId="16">#REF!</definedName>
    <definedName name="Princ">#REF!</definedName>
    <definedName name="Print_Area_Reset" localSheetId="12">OFFSET('Page 40'!Full_Print,0,0,'Page 40'!Last_Row)</definedName>
    <definedName name="Print_Area_Reset" localSheetId="13">OFFSET('Page 41'!Full_Print,0,0,'Page 41'!Last_Row)</definedName>
    <definedName name="Print_Area_Reset" localSheetId="15">OFFSET('Page 43'!Full_Print,0,0,'Page 43'!Last_Row)</definedName>
    <definedName name="Print_Area_Reset" localSheetId="16">OFFSET('Page 44'!Full_Print,0,0,'Page 44'!Last_Row)</definedName>
    <definedName name="Print_Area_Reset">OFFSET(Full_Print,0,0,Last_Row)</definedName>
    <definedName name="Sched_Pay" localSheetId="12">#REF!</definedName>
    <definedName name="Sched_Pay" localSheetId="13">#REF!</definedName>
    <definedName name="Sched_Pay" localSheetId="15">#REF!</definedName>
    <definedName name="Sched_Pay" localSheetId="16">#REF!</definedName>
    <definedName name="Sched_Pay">#REF!</definedName>
    <definedName name="Scheduled_Extra_Payments" localSheetId="12">#REF!</definedName>
    <definedName name="Scheduled_Extra_Payments" localSheetId="13">#REF!</definedName>
    <definedName name="Scheduled_Extra_Payments" localSheetId="15">#REF!</definedName>
    <definedName name="Scheduled_Extra_Payments" localSheetId="16">#REF!</definedName>
    <definedName name="Scheduled_Extra_Payments">#REF!</definedName>
    <definedName name="Scheduled_Interest_Rate" localSheetId="12">#REF!</definedName>
    <definedName name="Scheduled_Interest_Rate" localSheetId="13">#REF!</definedName>
    <definedName name="Scheduled_Interest_Rate" localSheetId="15">#REF!</definedName>
    <definedName name="Scheduled_Interest_Rate" localSheetId="16">#REF!</definedName>
    <definedName name="Scheduled_Interest_Rate">#REF!</definedName>
    <definedName name="Scheduled_Monthly_Payment" localSheetId="12">#REF!</definedName>
    <definedName name="Scheduled_Monthly_Payment" localSheetId="13">#REF!</definedName>
    <definedName name="Scheduled_Monthly_Payment" localSheetId="15">#REF!</definedName>
    <definedName name="Scheduled_Monthly_Payment" localSheetId="16">#REF!</definedName>
    <definedName name="Scheduled_Monthly_Payment">#REF!</definedName>
    <definedName name="SCIT" localSheetId="12">'[1]balance sheet'!#REF!</definedName>
    <definedName name="SCIT" localSheetId="13">'[1]balance sheet'!#REF!</definedName>
    <definedName name="SCIT" localSheetId="15">'[1]balance sheet'!#REF!</definedName>
    <definedName name="SCIT" localSheetId="16">'[1]balance sheet'!#REF!</definedName>
    <definedName name="SCIT">'[1]balance sheet'!#REF!</definedName>
    <definedName name="Total_Interest" localSheetId="12">#REF!</definedName>
    <definedName name="Total_Interest" localSheetId="13">#REF!</definedName>
    <definedName name="Total_Interest" localSheetId="15">#REF!</definedName>
    <definedName name="Total_Interest" localSheetId="16">#REF!</definedName>
    <definedName name="Total_Interest">#REF!</definedName>
    <definedName name="Total_Pay" localSheetId="12">#REF!</definedName>
    <definedName name="Total_Pay" localSheetId="13">#REF!</definedName>
    <definedName name="Total_Pay" localSheetId="15">#REF!</definedName>
    <definedName name="Total_Pay" localSheetId="16">#REF!</definedName>
    <definedName name="Total_Pay">#REF!</definedName>
    <definedName name="Values_Entered" localSheetId="12">IF('Page 40'!Loan_Amount*'Page 40'!Interest_Rate*'Page 40'!Loan_Years*'Page 40'!Loan_Start&gt;0,1,0)</definedName>
    <definedName name="Values_Entered" localSheetId="13">IF('Page 41'!Loan_Amount*'Page 41'!Interest_Rate*'Page 41'!Loan_Years*'Page 41'!Loan_Start&gt;0,1,0)</definedName>
    <definedName name="Values_Entered" localSheetId="15">IF('Page 43'!Loan_Amount*'Page 43'!Interest_Rate*'Page 43'!Loan_Years*'Page 43'!Loan_Start&gt;0,1,0)</definedName>
    <definedName name="Values_Entered" localSheetId="16">IF('Page 44'!Loan_Amount*'Page 44'!Interest_Rate*'Page 44'!Loan_Years*'Page 44'!Loan_Start&gt;0,1,0)</definedName>
    <definedName name="Values_Entered">IF(Loan_Amount*Interest_Rate*Loan_Years*Loan_Start&gt;0,1,0)</definedName>
  </definedNames>
  <calcPr calcId="144525" iterate="1"/>
</workbook>
</file>

<file path=xl/calcChain.xml><?xml version="1.0" encoding="utf-8"?>
<calcChain xmlns="http://schemas.openxmlformats.org/spreadsheetml/2006/main">
  <c r="B27" i="59" l="1"/>
  <c r="B26" i="59"/>
  <c r="B25" i="59"/>
  <c r="B24" i="59"/>
  <c r="B23" i="59"/>
  <c r="B22" i="59"/>
  <c r="B21" i="59"/>
  <c r="B20" i="59"/>
  <c r="B19" i="59"/>
  <c r="B18" i="59"/>
  <c r="B17" i="59"/>
  <c r="B16" i="59"/>
  <c r="B15" i="59"/>
  <c r="B14" i="59"/>
  <c r="B13" i="59"/>
  <c r="B12" i="59"/>
  <c r="C14" i="59"/>
  <c r="C13" i="59"/>
  <c r="C12" i="59"/>
  <c r="C9" i="59"/>
  <c r="C4" i="59"/>
  <c r="B4" i="59"/>
  <c r="B9" i="59" s="1"/>
  <c r="G4" i="59" s="1"/>
  <c r="H8" i="59" s="1"/>
  <c r="H9" i="59" l="1"/>
  <c r="I8" i="59"/>
  <c r="J8" i="59" s="1"/>
  <c r="G9" i="59" s="1"/>
  <c r="B2" i="62"/>
  <c r="B3" i="62"/>
  <c r="B6" i="62"/>
  <c r="B10" i="62"/>
  <c r="B11" i="62"/>
  <c r="B12" i="62"/>
  <c r="B13" i="62"/>
  <c r="B15" i="62"/>
  <c r="B2" i="61"/>
  <c r="B3" i="61"/>
  <c r="B6" i="61"/>
  <c r="B7" i="61"/>
  <c r="B2" i="60"/>
  <c r="B3" i="60"/>
  <c r="B6" i="60"/>
  <c r="B7" i="60"/>
  <c r="B9" i="58"/>
  <c r="B14" i="63"/>
  <c r="B21" i="63"/>
  <c r="C7" i="60"/>
  <c r="B18" i="63"/>
  <c r="B3" i="63"/>
  <c r="C3" i="61"/>
  <c r="F3" i="54"/>
  <c r="C10" i="62"/>
  <c r="C9" i="58"/>
  <c r="C2" i="60"/>
  <c r="B12" i="63"/>
  <c r="C6" i="60"/>
  <c r="F3" i="55"/>
  <c r="B9" i="63"/>
  <c r="B16" i="63"/>
  <c r="B17" i="63"/>
  <c r="B13" i="63"/>
  <c r="B20" i="63"/>
  <c r="A3" i="54"/>
  <c r="C2" i="61"/>
  <c r="B8" i="63"/>
  <c r="B24" i="63"/>
  <c r="B7" i="63"/>
  <c r="B5" i="63"/>
  <c r="B19" i="63"/>
  <c r="B10" i="63"/>
  <c r="C6" i="61"/>
  <c r="B15" i="63"/>
  <c r="A3" i="55"/>
  <c r="C7" i="61"/>
  <c r="C3" i="62"/>
  <c r="C2" i="62"/>
  <c r="C3" i="60"/>
  <c r="B22" i="63"/>
  <c r="C6" i="62"/>
  <c r="C15" i="62"/>
  <c r="B23" i="63"/>
  <c r="C11" i="62"/>
  <c r="B11" i="63"/>
  <c r="B4" i="63"/>
  <c r="B6" i="63"/>
  <c r="H10" i="59" l="1"/>
  <c r="I9" i="59"/>
  <c r="J9" i="59" s="1"/>
  <c r="G10" i="59" s="1"/>
  <c r="B9" i="57"/>
  <c r="C9" i="57"/>
  <c r="H11" i="59" l="1"/>
  <c r="I10" i="59"/>
  <c r="J10" i="59" s="1"/>
  <c r="G11" i="59" s="1"/>
  <c r="B10" i="57"/>
  <c r="C10" i="57"/>
  <c r="H12" i="59" l="1"/>
  <c r="I11" i="59"/>
  <c r="J11" i="59" s="1"/>
  <c r="G12" i="59" s="1"/>
  <c r="B4" i="56"/>
  <c r="C4" i="56"/>
  <c r="H13" i="59" l="1"/>
  <c r="I12" i="59"/>
  <c r="J12" i="59" s="1"/>
  <c r="G13" i="59" s="1"/>
  <c r="D5" i="55"/>
  <c r="E5" i="55"/>
  <c r="F5" i="55"/>
  <c r="H14" i="59" l="1"/>
  <c r="I13" i="59"/>
  <c r="J13" i="59" s="1"/>
  <c r="G14" i="59" s="1"/>
  <c r="B6" i="55"/>
  <c r="D6" i="55"/>
  <c r="E6" i="55" s="1"/>
  <c r="F6" i="55"/>
  <c r="H15" i="59" l="1"/>
  <c r="I14" i="59"/>
  <c r="J14" i="59" s="1"/>
  <c r="G15" i="59" s="1"/>
  <c r="B7" i="55"/>
  <c r="D7" i="55"/>
  <c r="E7" i="55"/>
  <c r="B8" i="55"/>
  <c r="D8" i="55" s="1"/>
  <c r="E8" i="55" s="1"/>
  <c r="B9" i="55" s="1"/>
  <c r="D9" i="55" s="1"/>
  <c r="E9" i="55" s="1"/>
  <c r="B10" i="55" s="1"/>
  <c r="D10" i="55" s="1"/>
  <c r="E10" i="55" s="1"/>
  <c r="B11" i="55" s="1"/>
  <c r="D11" i="55" s="1"/>
  <c r="E11" i="55" s="1"/>
  <c r="B12" i="55" s="1"/>
  <c r="D12" i="55" s="1"/>
  <c r="E12" i="55" s="1"/>
  <c r="B13" i="55" s="1"/>
  <c r="D13" i="55" s="1"/>
  <c r="E13" i="55" s="1"/>
  <c r="B14" i="55" s="1"/>
  <c r="D14" i="55" s="1"/>
  <c r="E14" i="55" s="1"/>
  <c r="C16" i="55"/>
  <c r="D16" i="55"/>
  <c r="H16" i="59" l="1"/>
  <c r="I15" i="59"/>
  <c r="J15" i="59" s="1"/>
  <c r="G16" i="59" s="1"/>
  <c r="D5" i="54"/>
  <c r="E5" i="54" s="1"/>
  <c r="F5" i="54"/>
  <c r="H17" i="59" l="1"/>
  <c r="I16" i="59"/>
  <c r="J16" i="59" s="1"/>
  <c r="G17" i="59" s="1"/>
  <c r="B6" i="54"/>
  <c r="D6" i="54" s="1"/>
  <c r="F6" i="54"/>
  <c r="H18" i="59" l="1"/>
  <c r="I17" i="59"/>
  <c r="J17" i="59" s="1"/>
  <c r="G18" i="59" s="1"/>
  <c r="E6" i="54"/>
  <c r="B7" i="54"/>
  <c r="D7" i="54" s="1"/>
  <c r="E7" i="54" s="1"/>
  <c r="B8" i="54" s="1"/>
  <c r="D8" i="54" s="1"/>
  <c r="E8" i="54" s="1"/>
  <c r="B9" i="54" s="1"/>
  <c r="D9" i="54" s="1"/>
  <c r="E9" i="54" s="1"/>
  <c r="B10" i="54" s="1"/>
  <c r="D10" i="54" s="1"/>
  <c r="E10" i="54" s="1"/>
  <c r="B11" i="54" s="1"/>
  <c r="D11" i="54" s="1"/>
  <c r="E11" i="54" s="1"/>
  <c r="B12" i="54" s="1"/>
  <c r="D12" i="54" s="1"/>
  <c r="E12" i="54" s="1"/>
  <c r="B13" i="54" s="1"/>
  <c r="D13" i="54" s="1"/>
  <c r="E13" i="54" s="1"/>
  <c r="B14" i="54" s="1"/>
  <c r="D14" i="54" s="1"/>
  <c r="E14" i="54" s="1"/>
  <c r="E16" i="54"/>
  <c r="F16" i="54"/>
  <c r="H19" i="59" l="1"/>
  <c r="I18" i="59"/>
  <c r="J18" i="59" s="1"/>
  <c r="G19" i="59" s="1"/>
  <c r="B5" i="53"/>
  <c r="C5" i="53"/>
  <c r="D5" i="53"/>
  <c r="B6" i="53"/>
  <c r="C6" i="53"/>
  <c r="D6" i="53"/>
  <c r="E6" i="53"/>
  <c r="H20" i="59" l="1"/>
  <c r="I19" i="59"/>
  <c r="J19" i="59" s="1"/>
  <c r="G20" i="59" s="1"/>
  <c r="B7" i="53"/>
  <c r="C7" i="53"/>
  <c r="D7" i="53"/>
  <c r="E7" i="53"/>
  <c r="H21" i="59" l="1"/>
  <c r="I20" i="59"/>
  <c r="J20" i="59" s="1"/>
  <c r="G21" i="59" s="1"/>
  <c r="B8" i="53"/>
  <c r="C8" i="53"/>
  <c r="D8" i="53"/>
  <c r="B9" i="53"/>
  <c r="C9" i="53"/>
  <c r="D9" i="53"/>
  <c r="B10" i="53"/>
  <c r="C10" i="53"/>
  <c r="D10" i="53"/>
  <c r="B11" i="53"/>
  <c r="C11" i="53"/>
  <c r="D11" i="53"/>
  <c r="B12" i="53"/>
  <c r="C12" i="53"/>
  <c r="D12" i="53"/>
  <c r="B13" i="53"/>
  <c r="C13" i="53"/>
  <c r="D13" i="53"/>
  <c r="B14" i="53"/>
  <c r="C14" i="53"/>
  <c r="D14" i="53"/>
  <c r="B15" i="53"/>
  <c r="C15" i="53"/>
  <c r="D15" i="53"/>
  <c r="B16" i="53"/>
  <c r="C16" i="53"/>
  <c r="D16" i="53"/>
  <c r="B17" i="53"/>
  <c r="C17" i="53"/>
  <c r="D17" i="53"/>
  <c r="B18" i="53"/>
  <c r="C18" i="53"/>
  <c r="D18" i="53"/>
  <c r="B19" i="53"/>
  <c r="C19" i="53"/>
  <c r="D19" i="53"/>
  <c r="B20" i="53"/>
  <c r="C20" i="53"/>
  <c r="D20" i="53"/>
  <c r="B21" i="53"/>
  <c r="C21" i="53"/>
  <c r="D21" i="53"/>
  <c r="B22" i="53"/>
  <c r="C22" i="53"/>
  <c r="D22" i="53"/>
  <c r="B23" i="53"/>
  <c r="C23" i="53"/>
  <c r="D23" i="53"/>
  <c r="B24" i="53"/>
  <c r="C24" i="53"/>
  <c r="D24" i="53"/>
  <c r="B25" i="53"/>
  <c r="C25" i="53"/>
  <c r="D25" i="53"/>
  <c r="B26" i="53"/>
  <c r="C26" i="53"/>
  <c r="D26" i="53"/>
  <c r="H22" i="59" l="1"/>
  <c r="I21" i="59"/>
  <c r="J21" i="59" s="1"/>
  <c r="G22" i="59" s="1"/>
  <c r="B38" i="52"/>
  <c r="B29" i="52"/>
  <c r="B28" i="52"/>
  <c r="B27" i="52"/>
  <c r="B26" i="52"/>
  <c r="B25" i="52"/>
  <c r="B24" i="52"/>
  <c r="B23" i="52"/>
  <c r="B22" i="52"/>
  <c r="B21" i="52"/>
  <c r="B20" i="52"/>
  <c r="B19" i="52"/>
  <c r="B18" i="52"/>
  <c r="B17" i="52"/>
  <c r="B16" i="52"/>
  <c r="B15" i="52"/>
  <c r="B14" i="52"/>
  <c r="B13" i="52"/>
  <c r="B12" i="52"/>
  <c r="B11" i="52"/>
  <c r="B10" i="52"/>
  <c r="B9" i="52"/>
  <c r="B6" i="52"/>
  <c r="B6" i="51"/>
  <c r="C13" i="52"/>
  <c r="C6" i="51"/>
  <c r="C12" i="52"/>
  <c r="C6" i="52"/>
  <c r="C11" i="52"/>
  <c r="C9" i="52"/>
  <c r="C10" i="52"/>
  <c r="H23" i="59" l="1"/>
  <c r="I22" i="59"/>
  <c r="J22" i="59" s="1"/>
  <c r="G23" i="59" s="1"/>
  <c r="C13" i="50"/>
  <c r="C6" i="50"/>
  <c r="C7" i="50"/>
  <c r="C8" i="50"/>
  <c r="C9" i="50"/>
  <c r="C5" i="50"/>
  <c r="C12" i="50" s="1"/>
  <c r="C15" i="49"/>
  <c r="C8" i="49"/>
  <c r="C10" i="49"/>
  <c r="B7" i="49"/>
  <c r="C7" i="49" s="1"/>
  <c r="B8" i="49"/>
  <c r="B9" i="49"/>
  <c r="C9" i="49" s="1"/>
  <c r="B10" i="49"/>
  <c r="B6" i="49"/>
  <c r="C16" i="49" s="1"/>
  <c r="B10" i="48"/>
  <c r="B11" i="48"/>
  <c r="B12" i="48"/>
  <c r="B13" i="48"/>
  <c r="B14" i="48"/>
  <c r="B15" i="48"/>
  <c r="B16" i="48"/>
  <c r="B17" i="48"/>
  <c r="B18" i="48"/>
  <c r="B19" i="48"/>
  <c r="B20" i="48"/>
  <c r="B21" i="48"/>
  <c r="B22" i="48"/>
  <c r="B23" i="48"/>
  <c r="B24" i="48"/>
  <c r="B25" i="48"/>
  <c r="B26" i="48"/>
  <c r="B27" i="48"/>
  <c r="B9" i="48"/>
  <c r="B5" i="48"/>
  <c r="B5" i="47"/>
  <c r="B8" i="47" s="1"/>
  <c r="B9" i="47" s="1"/>
  <c r="D16" i="49"/>
  <c r="D6" i="49"/>
  <c r="D12" i="50"/>
  <c r="C9" i="47"/>
  <c r="C11" i="48"/>
  <c r="C5" i="48"/>
  <c r="D7" i="49"/>
  <c r="C10" i="48"/>
  <c r="D15" i="49"/>
  <c r="D6" i="50"/>
  <c r="D13" i="50"/>
  <c r="C9" i="48"/>
  <c r="C8" i="47"/>
  <c r="D5" i="50"/>
  <c r="C5" i="47"/>
  <c r="D14" i="49"/>
  <c r="H24" i="59" l="1"/>
  <c r="I23" i="59"/>
  <c r="J23" i="59" s="1"/>
  <c r="G24" i="59" s="1"/>
  <c r="C6" i="49"/>
  <c r="C14" i="49" s="1"/>
  <c r="C18" i="46"/>
  <c r="C17" i="46"/>
  <c r="C16" i="46"/>
  <c r="C15" i="46"/>
  <c r="C14" i="46"/>
  <c r="C13" i="46"/>
  <c r="C12" i="46"/>
  <c r="C11" i="46"/>
  <c r="C10" i="46"/>
  <c r="C9" i="46"/>
  <c r="C8" i="46"/>
  <c r="A8" i="46"/>
  <c r="A9" i="46" s="1"/>
  <c r="A10" i="46" s="1"/>
  <c r="A11" i="46" s="1"/>
  <c r="A12" i="46" s="1"/>
  <c r="A13" i="46" s="1"/>
  <c r="A14" i="46" s="1"/>
  <c r="A15" i="46" s="1"/>
  <c r="A16" i="46" s="1"/>
  <c r="A17" i="46" s="1"/>
  <c r="A18" i="46" s="1"/>
  <c r="C7" i="46"/>
  <c r="F7" i="46"/>
  <c r="F8" i="46"/>
  <c r="F11" i="46"/>
  <c r="F12" i="46"/>
  <c r="F9" i="46"/>
  <c r="F18" i="46"/>
  <c r="F15" i="46"/>
  <c r="E20" i="46"/>
  <c r="F17" i="46"/>
  <c r="F14" i="46"/>
  <c r="F10" i="46"/>
  <c r="F16" i="46"/>
  <c r="F13" i="46"/>
  <c r="H25" i="59" l="1"/>
  <c r="I24" i="59"/>
  <c r="J24" i="59" s="1"/>
  <c r="G25" i="59" s="1"/>
  <c r="D20" i="46"/>
  <c r="D7" i="46"/>
  <c r="E7" i="46" s="1"/>
  <c r="B8" i="46" s="1"/>
  <c r="D8" i="46" s="1"/>
  <c r="E8" i="46" s="1"/>
  <c r="B9" i="46" s="1"/>
  <c r="D9" i="46" s="1"/>
  <c r="E9" i="46" s="1"/>
  <c r="B10" i="46" s="1"/>
  <c r="D10" i="46" s="1"/>
  <c r="E10" i="46" s="1"/>
  <c r="B11" i="46" s="1"/>
  <c r="D11" i="46" s="1"/>
  <c r="E11" i="46" s="1"/>
  <c r="B12" i="46" s="1"/>
  <c r="D12" i="46" s="1"/>
  <c r="E12" i="46" s="1"/>
  <c r="B13" i="46" s="1"/>
  <c r="D13" i="46" s="1"/>
  <c r="E13" i="46" s="1"/>
  <c r="B14" i="46" s="1"/>
  <c r="D14" i="46" s="1"/>
  <c r="E14" i="46" s="1"/>
  <c r="B15" i="46" s="1"/>
  <c r="D15" i="46" s="1"/>
  <c r="E15" i="46" s="1"/>
  <c r="B16" i="46" s="1"/>
  <c r="D16" i="46" s="1"/>
  <c r="E16" i="46" s="1"/>
  <c r="B17" i="46" s="1"/>
  <c r="D17" i="46" s="1"/>
  <c r="E17" i="46" s="1"/>
  <c r="B18" i="46" s="1"/>
  <c r="D18" i="46" s="1"/>
  <c r="E18" i="46" s="1"/>
  <c r="C18" i="45"/>
  <c r="C17" i="45"/>
  <c r="C16" i="45"/>
  <c r="C15" i="45"/>
  <c r="C14" i="45"/>
  <c r="C13" i="45"/>
  <c r="C12" i="45"/>
  <c r="C11" i="45"/>
  <c r="C10" i="45"/>
  <c r="C9" i="45"/>
  <c r="C8" i="45"/>
  <c r="A8" i="45"/>
  <c r="A9" i="45" s="1"/>
  <c r="A10" i="45" s="1"/>
  <c r="A11" i="45" s="1"/>
  <c r="A12" i="45" s="1"/>
  <c r="A13" i="45" s="1"/>
  <c r="A14" i="45" s="1"/>
  <c r="A15" i="45" s="1"/>
  <c r="A16" i="45" s="1"/>
  <c r="A17" i="45" s="1"/>
  <c r="A18" i="45" s="1"/>
  <c r="C7" i="45"/>
  <c r="D7" i="45" s="1"/>
  <c r="E7" i="45" s="1"/>
  <c r="B8" i="45" s="1"/>
  <c r="C9" i="44"/>
  <c r="C10" i="44"/>
  <c r="C11" i="44"/>
  <c r="C12" i="44"/>
  <c r="C13" i="44"/>
  <c r="C14" i="44"/>
  <c r="C15" i="44"/>
  <c r="C16" i="44"/>
  <c r="C17" i="44"/>
  <c r="C18" i="44"/>
  <c r="F16" i="45"/>
  <c r="F18" i="45"/>
  <c r="F14" i="45"/>
  <c r="F15" i="45"/>
  <c r="F8" i="45"/>
  <c r="F12" i="44"/>
  <c r="F11" i="44"/>
  <c r="F15" i="44"/>
  <c r="F9" i="45"/>
  <c r="F13" i="45"/>
  <c r="F9" i="44"/>
  <c r="F11" i="45"/>
  <c r="F17" i="45"/>
  <c r="F18" i="44"/>
  <c r="F16" i="44"/>
  <c r="F13" i="44"/>
  <c r="E20" i="45"/>
  <c r="F7" i="45"/>
  <c r="F14" i="44"/>
  <c r="E20" i="44"/>
  <c r="F17" i="44"/>
  <c r="F12" i="45"/>
  <c r="F10" i="44"/>
  <c r="F8" i="44"/>
  <c r="F10" i="45"/>
  <c r="H26" i="59" l="1"/>
  <c r="I25" i="59"/>
  <c r="J25" i="59" s="1"/>
  <c r="G26" i="59" s="1"/>
  <c r="D8" i="45"/>
  <c r="E8" i="45" s="1"/>
  <c r="B9" i="45" s="1"/>
  <c r="D9" i="45" s="1"/>
  <c r="E9" i="45" s="1"/>
  <c r="B10" i="45" s="1"/>
  <c r="D10" i="45" s="1"/>
  <c r="E10" i="45" s="1"/>
  <c r="B11" i="45" s="1"/>
  <c r="D11" i="45" s="1"/>
  <c r="E11" i="45" s="1"/>
  <c r="B12" i="45" s="1"/>
  <c r="D12" i="45" s="1"/>
  <c r="E12" i="45" s="1"/>
  <c r="B13" i="45" s="1"/>
  <c r="D13" i="45" s="1"/>
  <c r="E13" i="45" s="1"/>
  <c r="B14" i="45" s="1"/>
  <c r="D14" i="45" s="1"/>
  <c r="E14" i="45" s="1"/>
  <c r="B15" i="45" s="1"/>
  <c r="D15" i="45" s="1"/>
  <c r="E15" i="45" s="1"/>
  <c r="B16" i="45" s="1"/>
  <c r="D16" i="45" s="1"/>
  <c r="E16" i="45" s="1"/>
  <c r="B17" i="45" s="1"/>
  <c r="D17" i="45" s="1"/>
  <c r="E17" i="45" s="1"/>
  <c r="B18" i="45" s="1"/>
  <c r="D18" i="45" s="1"/>
  <c r="E18" i="45" s="1"/>
  <c r="D20" i="45"/>
  <c r="C8" i="44"/>
  <c r="C7" i="44"/>
  <c r="D7" i="44" s="1"/>
  <c r="E7" i="44" s="1"/>
  <c r="B8" i="44" s="1"/>
  <c r="A8" i="44"/>
  <c r="A9" i="44" s="1"/>
  <c r="A10" i="44" s="1"/>
  <c r="A11" i="44" s="1"/>
  <c r="A12" i="44" s="1"/>
  <c r="A13" i="44" s="1"/>
  <c r="A14" i="44" s="1"/>
  <c r="A15" i="44" s="1"/>
  <c r="A16" i="44" s="1"/>
  <c r="A17" i="44" s="1"/>
  <c r="A18" i="44" s="1"/>
  <c r="F7" i="44"/>
  <c r="H27" i="59" l="1"/>
  <c r="I26" i="59"/>
  <c r="J26" i="59" s="1"/>
  <c r="G27" i="59" s="1"/>
  <c r="D8" i="44"/>
  <c r="E8" i="44" s="1"/>
  <c r="B9" i="44" s="1"/>
  <c r="D9" i="44" s="1"/>
  <c r="E9" i="44" s="1"/>
  <c r="B10" i="44" s="1"/>
  <c r="D10" i="44" s="1"/>
  <c r="E10" i="44" s="1"/>
  <c r="B11" i="44" s="1"/>
  <c r="D11" i="44" s="1"/>
  <c r="E11" i="44" s="1"/>
  <c r="B12" i="44" s="1"/>
  <c r="D12" i="44" s="1"/>
  <c r="E12" i="44" s="1"/>
  <c r="B13" i="44" s="1"/>
  <c r="D13" i="44" s="1"/>
  <c r="E13" i="44" s="1"/>
  <c r="B14" i="44" s="1"/>
  <c r="D14" i="44" s="1"/>
  <c r="E14" i="44" s="1"/>
  <c r="B15" i="44" s="1"/>
  <c r="D15" i="44" s="1"/>
  <c r="E15" i="44" s="1"/>
  <c r="B16" i="44" s="1"/>
  <c r="D16" i="44" s="1"/>
  <c r="E16" i="44" s="1"/>
  <c r="B17" i="44" s="1"/>
  <c r="D17" i="44" s="1"/>
  <c r="E17" i="44" s="1"/>
  <c r="B18" i="44" s="1"/>
  <c r="D18" i="44" s="1"/>
  <c r="E18" i="44" s="1"/>
  <c r="D20" i="44"/>
  <c r="B6" i="43"/>
  <c r="C6" i="42"/>
  <c r="C5" i="42"/>
  <c r="C9" i="42" s="1"/>
  <c r="C5" i="41"/>
  <c r="C6" i="41"/>
  <c r="D9" i="41"/>
  <c r="D9" i="42"/>
  <c r="C6" i="43"/>
  <c r="H28" i="59" l="1"/>
  <c r="I27" i="59"/>
  <c r="J27" i="59" s="1"/>
  <c r="G28" i="59" s="1"/>
  <c r="C9" i="41"/>
  <c r="D5" i="41"/>
  <c r="E5" i="41" s="1"/>
  <c r="B6" i="41" s="1"/>
  <c r="D5" i="42"/>
  <c r="E5" i="42" s="1"/>
  <c r="B6" i="42" s="1"/>
  <c r="H29" i="59" l="1"/>
  <c r="I28" i="59"/>
  <c r="J28" i="59" s="1"/>
  <c r="G29" i="59" s="1"/>
  <c r="D6" i="41"/>
  <c r="E6" i="41" s="1"/>
  <c r="D7" i="41" s="1"/>
  <c r="E7" i="41" s="1"/>
  <c r="D6" i="42"/>
  <c r="E6" i="42" s="1"/>
  <c r="H30" i="59" l="1"/>
  <c r="I29" i="59"/>
  <c r="J29" i="59" s="1"/>
  <c r="G30" i="59" s="1"/>
  <c r="B7" i="41"/>
  <c r="B7" i="42"/>
  <c r="D7" i="42"/>
  <c r="E7" i="42" s="1"/>
  <c r="H31" i="59" l="1"/>
  <c r="I30" i="59"/>
  <c r="J30" i="59" s="1"/>
  <c r="G31" i="59" s="1"/>
  <c r="H32" i="59" l="1"/>
  <c r="I31" i="59"/>
  <c r="J31" i="59" s="1"/>
  <c r="G32" i="59" s="1"/>
  <c r="H33" i="59" l="1"/>
  <c r="I32" i="59"/>
  <c r="J32" i="59" s="1"/>
  <c r="G33" i="59" s="1"/>
  <c r="H34" i="59" l="1"/>
  <c r="I33" i="59"/>
  <c r="J33" i="59" s="1"/>
  <c r="G34" i="59" s="1"/>
  <c r="H35" i="59" l="1"/>
  <c r="I34" i="59"/>
  <c r="J34" i="59" s="1"/>
  <c r="G35" i="59" s="1"/>
  <c r="H36" i="59" l="1"/>
  <c r="I35" i="59"/>
  <c r="J35" i="59" s="1"/>
  <c r="G36" i="59" s="1"/>
  <c r="H37" i="59" l="1"/>
  <c r="I36" i="59"/>
  <c r="J36" i="59" s="1"/>
  <c r="G37" i="59" s="1"/>
  <c r="I37" i="59" l="1"/>
  <c r="J37" i="59" s="1"/>
  <c r="G38" i="59" s="1"/>
  <c r="I38" i="59" s="1"/>
  <c r="J38" i="59" s="1"/>
  <c r="G39" i="59" s="1"/>
  <c r="I39" i="59" s="1"/>
  <c r="J39" i="59" s="1"/>
  <c r="G40" i="59" s="1"/>
  <c r="I40" i="59" s="1"/>
  <c r="J40" i="59" s="1"/>
  <c r="G41" i="59" s="1"/>
  <c r="I41" i="59" s="1"/>
  <c r="J41" i="59" s="1"/>
  <c r="G42" i="59" s="1"/>
  <c r="I42" i="59" s="1"/>
  <c r="J42" i="59" s="1"/>
  <c r="G43" i="59" s="1"/>
  <c r="I43" i="59" s="1"/>
  <c r="J43" i="59" s="1"/>
  <c r="G44" i="59" s="1"/>
  <c r="I44" i="59" s="1"/>
  <c r="J44" i="59" s="1"/>
  <c r="G45" i="59" s="1"/>
  <c r="I45" i="59" s="1"/>
  <c r="J45" i="59" s="1"/>
  <c r="G46" i="59" s="1"/>
  <c r="I46" i="59" s="1"/>
  <c r="J46" i="59" s="1"/>
  <c r="G47" i="59" s="1"/>
  <c r="I47" i="59" s="1"/>
  <c r="J47" i="59" s="1"/>
  <c r="G48" i="59" s="1"/>
  <c r="I48" i="59" s="1"/>
  <c r="J48" i="59" s="1"/>
  <c r="G49" i="59" s="1"/>
  <c r="I49" i="59" s="1"/>
  <c r="J49" i="59" s="1"/>
  <c r="G50" i="59" s="1"/>
  <c r="I50" i="59" s="1"/>
  <c r="J50" i="59" s="1"/>
  <c r="G51" i="59" s="1"/>
  <c r="I51" i="59" s="1"/>
  <c r="J51" i="59" s="1"/>
  <c r="G52" i="59" s="1"/>
  <c r="I52" i="59" s="1"/>
  <c r="J52" i="59" s="1"/>
  <c r="G53" i="59" s="1"/>
  <c r="I53" i="59" s="1"/>
  <c r="J53" i="59" s="1"/>
  <c r="G54" i="59" s="1"/>
  <c r="I54" i="59" s="1"/>
  <c r="J54" i="59" s="1"/>
  <c r="G55" i="59" s="1"/>
  <c r="I55" i="59" s="1"/>
  <c r="J55" i="59" s="1"/>
  <c r="G56" i="59" s="1"/>
  <c r="I56" i="59" s="1"/>
  <c r="J56" i="59" s="1"/>
  <c r="G57" i="59" s="1"/>
  <c r="I57" i="59" s="1"/>
  <c r="J57" i="59" s="1"/>
</calcChain>
</file>

<file path=xl/sharedStrings.xml><?xml version="1.0" encoding="utf-8"?>
<sst xmlns="http://schemas.openxmlformats.org/spreadsheetml/2006/main" count="208" uniqueCount="119">
  <si>
    <t>End of year with interest</t>
  </si>
  <si>
    <t>Total at beginning of year</t>
  </si>
  <si>
    <t>In bank, before deposit</t>
  </si>
  <si>
    <t>Year</t>
  </si>
  <si>
    <t>Interest rate</t>
  </si>
  <si>
    <t>Deposit, X</t>
  </si>
  <si>
    <t>HELPING MARIO SAVE FOR A CAR</t>
  </si>
  <si>
    <t>Deposit or withdrawal</t>
  </si>
  <si>
    <t>Using Excel PMT function</t>
  </si>
  <si>
    <t xml:space="preserve">Goal </t>
  </si>
  <si>
    <t>&lt;--The year in which Mario wants to buy the car</t>
  </si>
  <si>
    <t>&lt;-- The cost of the car</t>
  </si>
  <si>
    <t>Annual deposit</t>
  </si>
  <si>
    <t>Birthday</t>
  </si>
  <si>
    <t>In bank on birthday, 
before 
deposit/withrawal</t>
  </si>
  <si>
    <t>Deposit of 
withdrawal at
beginning of year</t>
  </si>
  <si>
    <t>end of year with interest</t>
  </si>
  <si>
    <t>PV of all payments</t>
  </si>
  <si>
    <t>SAVING FOR COLLEGE</t>
  </si>
  <si>
    <t>SIMPLE PRESENT VALUE CALCULATION</t>
  </si>
  <si>
    <t>X, future payment</t>
  </si>
  <si>
    <t>n, time of future payment</t>
  </si>
  <si>
    <r>
      <t>Present value, X/(1+r)</t>
    </r>
    <r>
      <rPr>
        <vertAlign val="superscript"/>
        <sz val="10"/>
        <rFont val="Arial"/>
        <family val="2"/>
      </rPr>
      <t>n</t>
    </r>
  </si>
  <si>
    <t>Proof</t>
  </si>
  <si>
    <t>Payment today</t>
  </si>
  <si>
    <t>Future value in n years</t>
  </si>
  <si>
    <t>r, interest rate (discount rate)</t>
  </si>
  <si>
    <t>Table:  How does the discount rate affect the present value?</t>
  </si>
  <si>
    <t>Discount rate</t>
  </si>
  <si>
    <t>Present value</t>
  </si>
  <si>
    <t>PRESENT VALUE OF AN ANNUITY
FIVE ANNUAL PAYMENTS OF $100 EACH</t>
  </si>
  <si>
    <t>Annual payment</t>
  </si>
  <si>
    <t>Payment at end of year</t>
  </si>
  <si>
    <t>Present value of payment</t>
  </si>
  <si>
    <t>Present value of all payments</t>
  </si>
  <si>
    <t>Summing the present values</t>
  </si>
  <si>
    <r>
      <t xml:space="preserve">Using Excel's </t>
    </r>
    <r>
      <rPr>
        <b/>
        <sz val="10"/>
        <rFont val="Arial"/>
        <family val="2"/>
      </rPr>
      <t>PV</t>
    </r>
    <r>
      <rPr>
        <sz val="10"/>
        <rFont val="Arial"/>
        <family val="2"/>
      </rPr>
      <t xml:space="preserve"> function</t>
    </r>
  </si>
  <si>
    <r>
      <t xml:space="preserve">Using Excel's </t>
    </r>
    <r>
      <rPr>
        <b/>
        <sz val="10"/>
        <rFont val="Arial"/>
        <family val="2"/>
      </rPr>
      <t>NPV</t>
    </r>
    <r>
      <rPr>
        <sz val="10"/>
        <rFont val="Arial"/>
        <family val="2"/>
      </rPr>
      <t xml:space="preserve"> function</t>
    </r>
  </si>
  <si>
    <t>CALCULATING PRESENT VALUES WITH EXCEL</t>
  </si>
  <si>
    <t>r, discount rate</t>
  </si>
  <si>
    <t>Annual cost of college</t>
  </si>
  <si>
    <t xml:space="preserve">When to reach the goal? </t>
  </si>
  <si>
    <t>Account balance after n years</t>
  </si>
  <si>
    <t>Number of years, n</t>
  </si>
  <si>
    <t>Initial deposit</t>
  </si>
  <si>
    <t>CALCULATING FUTURE VALUES WITH EXCEL</t>
  </si>
  <si>
    <t>THE FUTURE VALUE OF A SINGLE $100 DEPOSIT</t>
  </si>
  <si>
    <t>Future value</t>
  </si>
  <si>
    <t>Graph title</t>
  </si>
  <si>
    <t>FUTURE VALUE OF A SINGLE DEPOSIT AT DIFFERENT INTEREST RATES
How $100 at time 0 grows at  0%, 6%, 12%</t>
  </si>
  <si>
    <t>Total in
account at
end of year</t>
  </si>
  <si>
    <t>Interest
earned
during year</t>
  </si>
  <si>
    <t>Deposit at
beginning
of year</t>
  </si>
  <si>
    <t>Account
balance,
beg. year</t>
  </si>
  <si>
    <t>Interest</t>
  </si>
  <si>
    <t>FUTURE VALUE WITH ANNUAL DEPOSITS
at beginning of year</t>
  </si>
  <si>
    <t xml:space="preserve">Future value using Excel's FV function: </t>
  </si>
  <si>
    <t>Deposit at
end
of year</t>
  </si>
  <si>
    <t>FUTURE VALUE WITH ANNUAL DEPOSITS
at end of year</t>
  </si>
  <si>
    <t>THE PRESENT VALUE OF $100 IN 3 YEARS
In this example we vary the discount rate r</t>
  </si>
  <si>
    <t>PRESENT VALUE OF A PERPETUITY</t>
  </si>
  <si>
    <t>Payment at end of eacy year</t>
  </si>
  <si>
    <t>Interest raate</t>
  </si>
  <si>
    <t>Perpetuity present value</t>
  </si>
  <si>
    <r>
      <rPr>
        <b/>
        <sz val="11"/>
        <color theme="1"/>
        <rFont val="Calibri"/>
        <family val="2"/>
      </rPr>
      <t>FV</t>
    </r>
    <r>
      <rPr>
        <sz val="11"/>
        <color theme="1"/>
        <rFont val="Calibri"/>
        <family val="2"/>
        <scheme val="minor"/>
      </rPr>
      <t xml:space="preserve"> of all deposits and payments</t>
    </r>
  </si>
  <si>
    <t>PV of college at 18</t>
  </si>
  <si>
    <t>Years of college</t>
  </si>
  <si>
    <t>Age at starting college</t>
  </si>
  <si>
    <t>Linda's age today</t>
  </si>
  <si>
    <t>SAVING FOR COLLEGE
Using PV and PMT functions</t>
  </si>
  <si>
    <t>SAVING FOR COLLEGE
PV function is inside the PMT function</t>
  </si>
  <si>
    <t>Annual amount deposited</t>
  </si>
  <si>
    <t>Joe's age today</t>
  </si>
  <si>
    <t>End year</t>
  </si>
  <si>
    <t>Total</t>
  </si>
  <si>
    <t>Deposit</t>
  </si>
  <si>
    <t>Bank before deposit</t>
  </si>
  <si>
    <t>Annual withdrawal from age 65</t>
  </si>
  <si>
    <t>Annual retirement pension</t>
  </si>
  <si>
    <t>Number of withdrawals</t>
  </si>
  <si>
    <t>Number of deposits</t>
  </si>
  <si>
    <t>Joe's age at last deposit</t>
  </si>
  <si>
    <t>Just to check</t>
  </si>
  <si>
    <t>SAVING FOR RETIREMENT</t>
  </si>
  <si>
    <t>Excel PV function</t>
  </si>
  <si>
    <t>Sum</t>
  </si>
  <si>
    <t>Number of terms, n</t>
  </si>
  <si>
    <t>Ratio, q</t>
  </si>
  <si>
    <t>First term, a</t>
  </si>
  <si>
    <t>FUTURE VALUE FORMULA</t>
  </si>
  <si>
    <t>ANNUITY FORMULAS</t>
  </si>
  <si>
    <t>Payment</t>
  </si>
  <si>
    <t>A CONSTANT-GROWTH CASH FLOW</t>
  </si>
  <si>
    <t>CHAPTER 2 EXCEL SPREADSHEET INDEX</t>
  </si>
  <si>
    <t>Page</t>
  </si>
  <si>
    <t>Content</t>
  </si>
  <si>
    <t>Page 20</t>
  </si>
  <si>
    <t>Page 21</t>
  </si>
  <si>
    <t>Page 22</t>
  </si>
  <si>
    <t>Page 23</t>
  </si>
  <si>
    <t>Page 26</t>
  </si>
  <si>
    <t>Page 31</t>
  </si>
  <si>
    <t>Page 32</t>
  </si>
  <si>
    <t>Page 33</t>
  </si>
  <si>
    <t>Page 34</t>
  </si>
  <si>
    <t>Page 37</t>
  </si>
  <si>
    <t>Page 39</t>
  </si>
  <si>
    <t>Page 40</t>
  </si>
  <si>
    <t>Page 41</t>
  </si>
  <si>
    <t>Page 42</t>
  </si>
  <si>
    <t>Page 43</t>
  </si>
  <si>
    <t>Page 44</t>
  </si>
  <si>
    <t>Page 44 bottom</t>
  </si>
  <si>
    <t>Page 45</t>
  </si>
  <si>
    <t>Page 45 bottom</t>
  </si>
  <si>
    <t>Appendix, page 55</t>
  </si>
  <si>
    <t>Appendix, page 56</t>
  </si>
  <si>
    <t>Appendix, page 57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</si>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</sst>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000"/>
    <numFmt numFmtId="165" formatCode="0.0000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b/>
      <sz val="14"/>
      <name val="Arial"/>
      <family val="2"/>
    </font>
    <font>
      <vertAlign val="superscript"/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1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5" fillId="4" borderId="0" applyNumberFormat="0" applyBorder="0" applyAlignment="0" applyProtection="0"/>
    <xf numFmtId="0" fontId="6" fillId="2" borderId="1" applyNumberFormat="0" applyAlignment="0" applyProtection="0"/>
    <xf numFmtId="0" fontId="7" fillId="3" borderId="1" applyNumberFormat="0" applyAlignment="0" applyProtection="0"/>
    <xf numFmtId="0" fontId="2" fillId="0" borderId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" fillId="0" borderId="0"/>
    <xf numFmtId="0" fontId="19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6"/>
    <xf numFmtId="4" fontId="2" fillId="0" borderId="0" xfId="6" applyNumberFormat="1"/>
    <xf numFmtId="0" fontId="2" fillId="0" borderId="0" xfId="6" applyAlignment="1">
      <alignment wrapText="1"/>
    </xf>
    <xf numFmtId="43" fontId="0" fillId="0" borderId="0" xfId="7" applyFont="1"/>
    <xf numFmtId="43" fontId="2" fillId="0" borderId="0" xfId="6" applyNumberFormat="1"/>
    <xf numFmtId="0" fontId="8" fillId="0" borderId="0" xfId="6" applyFont="1" applyAlignment="1">
      <alignment horizontal="center" wrapText="1"/>
    </xf>
    <xf numFmtId="10" fontId="2" fillId="0" borderId="0" xfId="6" applyNumberFormat="1"/>
    <xf numFmtId="0" fontId="9" fillId="0" borderId="0" xfId="6" applyFont="1" applyAlignment="1">
      <alignment horizontal="centerContinuous"/>
    </xf>
    <xf numFmtId="0" fontId="2" fillId="0" borderId="0" xfId="6" applyAlignment="1">
      <alignment horizontal="center"/>
    </xf>
    <xf numFmtId="0" fontId="2" fillId="0" borderId="0" xfId="6" quotePrefix="1"/>
    <xf numFmtId="9" fontId="2" fillId="0" borderId="0" xfId="6" applyNumberFormat="1"/>
    <xf numFmtId="0" fontId="2" fillId="5" borderId="0" xfId="6" applyFill="1"/>
    <xf numFmtId="4" fontId="2" fillId="5" borderId="0" xfId="6" applyNumberFormat="1" applyFill="1"/>
    <xf numFmtId="9" fontId="0" fillId="0" borderId="0" xfId="0" applyNumberFormat="1"/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Continuous"/>
    </xf>
    <xf numFmtId="0" fontId="13" fillId="0" borderId="0" xfId="0" applyFont="1"/>
    <xf numFmtId="4" fontId="0" fillId="0" borderId="0" xfId="8" applyNumberFormat="1" applyFont="1"/>
    <xf numFmtId="4" fontId="11" fillId="0" borderId="0" xfId="8" applyNumberFormat="1" applyFont="1" applyAlignment="1">
      <alignment horizontal="center" wrapText="1"/>
    </xf>
    <xf numFmtId="4" fontId="0" fillId="5" borderId="0" xfId="8" applyNumberFormat="1" applyFont="1" applyFill="1"/>
    <xf numFmtId="0" fontId="0" fillId="5" borderId="0" xfId="0" applyFill="1"/>
    <xf numFmtId="4" fontId="0" fillId="5" borderId="0" xfId="0" applyNumberFormat="1" applyFill="1"/>
    <xf numFmtId="0" fontId="0" fillId="0" borderId="0" xfId="0" applyAlignment="1">
      <alignment horizontal="center"/>
    </xf>
    <xf numFmtId="0" fontId="4" fillId="0" borderId="0" xfId="0" applyFont="1"/>
    <xf numFmtId="4" fontId="0" fillId="0" borderId="0" xfId="0" applyNumberFormat="1"/>
    <xf numFmtId="0" fontId="11" fillId="0" borderId="0" xfId="0" applyFont="1"/>
    <xf numFmtId="0" fontId="0" fillId="0" borderId="0" xfId="0" applyAlignment="1">
      <alignment horizontal="center" wrapText="1"/>
    </xf>
    <xf numFmtId="9" fontId="0" fillId="0" borderId="0" xfId="0" applyNumberFormat="1" applyAlignment="1">
      <alignment horizontal="center"/>
    </xf>
    <xf numFmtId="0" fontId="4" fillId="0" borderId="0" xfId="9"/>
    <xf numFmtId="0" fontId="4" fillId="0" borderId="0" xfId="9" applyFont="1"/>
    <xf numFmtId="9" fontId="4" fillId="0" borderId="0" xfId="9" applyNumberFormat="1"/>
    <xf numFmtId="8" fontId="4" fillId="0" borderId="0" xfId="9" applyNumberFormat="1"/>
    <xf numFmtId="0" fontId="11" fillId="0" borderId="0" xfId="9" applyFont="1" applyAlignment="1">
      <alignment horizontal="center"/>
    </xf>
    <xf numFmtId="0" fontId="11" fillId="0" borderId="0" xfId="9" applyFont="1"/>
    <xf numFmtId="0" fontId="4" fillId="0" borderId="0" xfId="9" applyAlignment="1">
      <alignment horizontal="center"/>
    </xf>
    <xf numFmtId="2" fontId="4" fillId="0" borderId="0" xfId="9" applyNumberFormat="1"/>
    <xf numFmtId="0" fontId="4" fillId="0" borderId="0" xfId="9" applyAlignment="1">
      <alignment wrapText="1"/>
    </xf>
    <xf numFmtId="4" fontId="4" fillId="6" borderId="0" xfId="9" applyNumberFormat="1" applyFill="1"/>
    <xf numFmtId="4" fontId="4" fillId="0" borderId="0" xfId="9" applyNumberFormat="1"/>
    <xf numFmtId="0" fontId="11" fillId="0" borderId="0" xfId="9" applyFont="1" applyAlignment="1">
      <alignment horizontal="center" wrapText="1"/>
    </xf>
    <xf numFmtId="0" fontId="4" fillId="7" borderId="0" xfId="9" applyFill="1" applyAlignment="1">
      <alignment horizontal="center"/>
    </xf>
    <xf numFmtId="0" fontId="16" fillId="0" borderId="0" xfId="9" applyFont="1" applyAlignment="1">
      <alignment horizontal="center"/>
    </xf>
    <xf numFmtId="0" fontId="4" fillId="0" borderId="0" xfId="9" applyAlignment="1">
      <alignment horizontal="right"/>
    </xf>
    <xf numFmtId="0" fontId="4" fillId="7" borderId="0" xfId="9" applyFill="1" applyAlignment="1">
      <alignment horizontal="center" vertical="center"/>
    </xf>
    <xf numFmtId="3" fontId="0" fillId="0" borderId="0" xfId="0" applyNumberFormat="1"/>
    <xf numFmtId="3" fontId="4" fillId="0" borderId="0" xfId="9" applyNumberFormat="1"/>
    <xf numFmtId="0" fontId="16" fillId="0" borderId="0" xfId="9" applyFont="1"/>
    <xf numFmtId="164" fontId="4" fillId="0" borderId="0" xfId="9" applyNumberFormat="1"/>
    <xf numFmtId="4" fontId="4" fillId="5" borderId="0" xfId="9" applyNumberFormat="1" applyFill="1"/>
    <xf numFmtId="0" fontId="4" fillId="6" borderId="0" xfId="9" applyFill="1" applyAlignment="1">
      <alignment horizontal="center"/>
    </xf>
    <xf numFmtId="4" fontId="11" fillId="0" borderId="0" xfId="9" applyNumberFormat="1" applyFont="1" applyAlignment="1">
      <alignment horizontal="center" wrapText="1"/>
    </xf>
    <xf numFmtId="0" fontId="4" fillId="6" borderId="0" xfId="9" applyFill="1"/>
    <xf numFmtId="0" fontId="14" fillId="0" borderId="0" xfId="9" applyFont="1" applyAlignment="1">
      <alignment horizontal="center"/>
    </xf>
    <xf numFmtId="165" fontId="4" fillId="0" borderId="0" xfId="9" applyNumberFormat="1"/>
    <xf numFmtId="40" fontId="4" fillId="6" borderId="0" xfId="9" applyNumberFormat="1" applyFill="1"/>
    <xf numFmtId="0" fontId="19" fillId="0" borderId="0" xfId="10" quotePrefix="1"/>
    <xf numFmtId="0" fontId="11" fillId="0" borderId="0" xfId="0" applyFont="1" applyAlignment="1">
      <alignment horizontal="center"/>
    </xf>
    <xf numFmtId="0" fontId="14" fillId="0" borderId="0" xfId="9" applyFont="1" applyAlignment="1">
      <alignment horizontal="center" vertical="center" wrapText="1"/>
    </xf>
    <xf numFmtId="0" fontId="14" fillId="0" borderId="0" xfId="9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indent="1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 indent="1"/>
    </xf>
    <xf numFmtId="0" fontId="17" fillId="0" borderId="0" xfId="6" applyFont="1" applyAlignment="1">
      <alignment horizontal="center"/>
    </xf>
    <xf numFmtId="0" fontId="9" fillId="0" borderId="0" xfId="6" applyFont="1" applyAlignment="1">
      <alignment horizontal="center"/>
    </xf>
    <xf numFmtId="0" fontId="16" fillId="0" borderId="0" xfId="9" applyFont="1" applyAlignment="1">
      <alignment horizontal="center" vertical="center" wrapText="1"/>
    </xf>
    <xf numFmtId="0" fontId="16" fillId="0" borderId="0" xfId="9" applyFont="1" applyAlignment="1">
      <alignment horizontal="center" vertical="center"/>
    </xf>
  </cellXfs>
  <cellStyles count="11">
    <cellStyle name="20% - Accent3 2" xfId="3"/>
    <cellStyle name="Calculation 2" xfId="5"/>
    <cellStyle name="Comma" xfId="8" builtinId="3"/>
    <cellStyle name="Comma 2" xfId="7"/>
    <cellStyle name="Currency 2" xfId="2"/>
    <cellStyle name="Hyperlink" xfId="10" builtinId="8"/>
    <cellStyle name="Input 2" xfId="4"/>
    <cellStyle name="Normal" xfId="0" builtinId="0"/>
    <cellStyle name="Normal 2" xfId="1"/>
    <cellStyle name="Normal 3" xfId="6"/>
    <cellStyle name="Normal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Future Value of $100 at 6% Annual Interest</a:t>
            </a:r>
          </a:p>
        </c:rich>
      </c:tx>
      <c:layout>
        <c:manualLayout>
          <c:xMode val="edge"/>
          <c:yMode val="edge"/>
          <c:x val="0.18775057394305075"/>
          <c:y val="2.108036890645586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299201950668945"/>
          <c:y val="0.1728374467025614"/>
          <c:w val="0.79060017497812773"/>
          <c:h val="0.6552170864138177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21'!$A$9:$A$29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'Page 21'!$B$9:$B$29</c:f>
              <c:numCache>
                <c:formatCode>0.00</c:formatCode>
                <c:ptCount val="21"/>
                <c:pt idx="0">
                  <c:v>100</c:v>
                </c:pt>
                <c:pt idx="1">
                  <c:v>106</c:v>
                </c:pt>
                <c:pt idx="2">
                  <c:v>112.36000000000001</c:v>
                </c:pt>
                <c:pt idx="3">
                  <c:v>119.10160000000003</c:v>
                </c:pt>
                <c:pt idx="4">
                  <c:v>126.24769600000003</c:v>
                </c:pt>
                <c:pt idx="5">
                  <c:v>133.82255776000005</c:v>
                </c:pt>
                <c:pt idx="6">
                  <c:v>141.85191122560005</c:v>
                </c:pt>
                <c:pt idx="7">
                  <c:v>150.36302589913609</c:v>
                </c:pt>
                <c:pt idx="8">
                  <c:v>159.38480745308422</c:v>
                </c:pt>
                <c:pt idx="9">
                  <c:v>168.94789590026929</c:v>
                </c:pt>
                <c:pt idx="10">
                  <c:v>179.08476965428545</c:v>
                </c:pt>
                <c:pt idx="11">
                  <c:v>189.82985583354261</c:v>
                </c:pt>
                <c:pt idx="12">
                  <c:v>201.2196471835552</c:v>
                </c:pt>
                <c:pt idx="13">
                  <c:v>213.2928260145685</c:v>
                </c:pt>
                <c:pt idx="14">
                  <c:v>226.09039557544261</c:v>
                </c:pt>
                <c:pt idx="15">
                  <c:v>239.65581930996925</c:v>
                </c:pt>
                <c:pt idx="16">
                  <c:v>254.03516846856732</c:v>
                </c:pt>
                <c:pt idx="17">
                  <c:v>269.2772785766814</c:v>
                </c:pt>
                <c:pt idx="18">
                  <c:v>285.43391529128229</c:v>
                </c:pt>
                <c:pt idx="19">
                  <c:v>302.55995020875923</c:v>
                </c:pt>
                <c:pt idx="20">
                  <c:v>320.71354722128478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151-40A6-BB32-85B21FFC4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779072"/>
        <c:axId val="221781376"/>
      </c:scatterChart>
      <c:valAx>
        <c:axId val="221779072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</a:t>
                </a:r>
              </a:p>
            </c:rich>
          </c:tx>
          <c:layout>
            <c:manualLayout>
              <c:xMode val="edge"/>
              <c:yMode val="edge"/>
              <c:x val="0.58394107996570044"/>
              <c:y val="0.8731372610044295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781376"/>
        <c:crosses val="autoZero"/>
        <c:crossBetween val="midCat"/>
      </c:valAx>
      <c:valAx>
        <c:axId val="22178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Future value</a:t>
                </a:r>
              </a:p>
            </c:rich>
          </c:tx>
          <c:layout>
            <c:manualLayout>
              <c:xMode val="edge"/>
              <c:yMode val="edge"/>
              <c:x val="4.1025641025641033E-2"/>
              <c:y val="0.3816801907395169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779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03399433427761"/>
          <c:y val="9.0909246116364792E-2"/>
          <c:w val="0.61181560648982947"/>
          <c:h val="0.75174953519301857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'Page 22'!$B$5</c:f>
              <c:strCache>
                <c:ptCount val="1"/>
                <c:pt idx="0">
                  <c:v>FV at 0%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22'!$A$6:$A$26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'Page 22'!$B$6:$B$26</c:f>
              <c:numCache>
                <c:formatCode>0.00</c:formatCode>
                <c:ptCount val="21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55C-4627-92E9-1FD6E46E8D7C}"/>
            </c:ext>
          </c:extLst>
        </c:ser>
        <c:ser>
          <c:idx val="1"/>
          <c:order val="1"/>
          <c:tx>
            <c:strRef>
              <c:f>'Page 22'!$C$5</c:f>
              <c:strCache>
                <c:ptCount val="1"/>
                <c:pt idx="0">
                  <c:v>FV at 6%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'Page 22'!$A$6:$A$26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'Page 22'!$C$6:$C$26</c:f>
              <c:numCache>
                <c:formatCode>0.00</c:formatCode>
                <c:ptCount val="21"/>
                <c:pt idx="0">
                  <c:v>100</c:v>
                </c:pt>
                <c:pt idx="1">
                  <c:v>106</c:v>
                </c:pt>
                <c:pt idx="2">
                  <c:v>112.36000000000001</c:v>
                </c:pt>
                <c:pt idx="3">
                  <c:v>119.10160000000003</c:v>
                </c:pt>
                <c:pt idx="4">
                  <c:v>126.24769600000003</c:v>
                </c:pt>
                <c:pt idx="5">
                  <c:v>133.82255776000005</c:v>
                </c:pt>
                <c:pt idx="6">
                  <c:v>141.85191122560005</c:v>
                </c:pt>
                <c:pt idx="7">
                  <c:v>150.36302589913609</c:v>
                </c:pt>
                <c:pt idx="8">
                  <c:v>159.38480745308422</c:v>
                </c:pt>
                <c:pt idx="9">
                  <c:v>168.94789590026929</c:v>
                </c:pt>
                <c:pt idx="10">
                  <c:v>179.08476965428545</c:v>
                </c:pt>
                <c:pt idx="11">
                  <c:v>189.82985583354261</c:v>
                </c:pt>
                <c:pt idx="12">
                  <c:v>201.2196471835552</c:v>
                </c:pt>
                <c:pt idx="13">
                  <c:v>213.2928260145685</c:v>
                </c:pt>
                <c:pt idx="14">
                  <c:v>226.09039557544261</c:v>
                </c:pt>
                <c:pt idx="15">
                  <c:v>239.65581930996925</c:v>
                </c:pt>
                <c:pt idx="16">
                  <c:v>254.03516846856732</c:v>
                </c:pt>
                <c:pt idx="17">
                  <c:v>269.2772785766814</c:v>
                </c:pt>
                <c:pt idx="18">
                  <c:v>285.43391529128229</c:v>
                </c:pt>
                <c:pt idx="19">
                  <c:v>302.55995020875923</c:v>
                </c:pt>
                <c:pt idx="20">
                  <c:v>320.71354722128478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55C-4627-92E9-1FD6E46E8D7C}"/>
            </c:ext>
          </c:extLst>
        </c:ser>
        <c:ser>
          <c:idx val="2"/>
          <c:order val="2"/>
          <c:tx>
            <c:strRef>
              <c:f>'Page 22'!$D$5</c:f>
              <c:strCache>
                <c:ptCount val="1"/>
                <c:pt idx="0">
                  <c:v>FV at 12%</c:v>
                </c:pt>
              </c:strCache>
            </c:strRef>
          </c:tx>
          <c:spPr>
            <a:ln w="12700">
              <a:solidFill>
                <a:srgbClr val="9933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'Page 22'!$A$6:$A$26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'Page 22'!$D$6:$D$26</c:f>
              <c:numCache>
                <c:formatCode>0.00</c:formatCode>
                <c:ptCount val="21"/>
                <c:pt idx="0">
                  <c:v>100</c:v>
                </c:pt>
                <c:pt idx="1">
                  <c:v>112.00000000000001</c:v>
                </c:pt>
                <c:pt idx="2">
                  <c:v>125.44000000000001</c:v>
                </c:pt>
                <c:pt idx="3">
                  <c:v>140.49280000000005</c:v>
                </c:pt>
                <c:pt idx="4">
                  <c:v>157.35193600000002</c:v>
                </c:pt>
                <c:pt idx="5">
                  <c:v>176.23416832000004</c:v>
                </c:pt>
                <c:pt idx="6">
                  <c:v>197.38226851840008</c:v>
                </c:pt>
                <c:pt idx="7">
                  <c:v>221.0681407406081</c:v>
                </c:pt>
                <c:pt idx="8">
                  <c:v>247.59631762948109</c:v>
                </c:pt>
                <c:pt idx="9">
                  <c:v>277.3078757450188</c:v>
                </c:pt>
                <c:pt idx="10">
                  <c:v>310.58482083442112</c:v>
                </c:pt>
                <c:pt idx="11">
                  <c:v>347.85499933455174</c:v>
                </c:pt>
                <c:pt idx="12">
                  <c:v>389.59759925469785</c:v>
                </c:pt>
                <c:pt idx="13">
                  <c:v>436.34931116526172</c:v>
                </c:pt>
                <c:pt idx="14">
                  <c:v>488.71122850509312</c:v>
                </c:pt>
                <c:pt idx="15">
                  <c:v>547.35657592570431</c:v>
                </c:pt>
                <c:pt idx="16">
                  <c:v>613.03936503678892</c:v>
                </c:pt>
                <c:pt idx="17">
                  <c:v>686.60408884120363</c:v>
                </c:pt>
                <c:pt idx="18">
                  <c:v>768.99657950214817</c:v>
                </c:pt>
                <c:pt idx="19">
                  <c:v>861.27616904240597</c:v>
                </c:pt>
                <c:pt idx="20">
                  <c:v>964.62930932749464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55C-4627-92E9-1FD6E46E8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827456"/>
        <c:axId val="221829376"/>
      </c:scatterChart>
      <c:valAx>
        <c:axId val="221827456"/>
        <c:scaling>
          <c:orientation val="minMax"/>
          <c:max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29376"/>
        <c:crosses val="autoZero"/>
        <c:crossBetween val="midCat"/>
      </c:valAx>
      <c:valAx>
        <c:axId val="221829376"/>
        <c:scaling>
          <c:orientation val="minMax"/>
          <c:max val="100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827456"/>
        <c:crosses val="autoZero"/>
        <c:crossBetween val="midCat"/>
        <c:majorUnit val="1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8987386070412091"/>
          <c:y val="0.25874162582824001"/>
          <c:w val="0.21308061175897305"/>
          <c:h val="0.223776590863205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Present value of $100 to be Paid in 3 years when Discount Rate Varies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32'!$B$8</c:f>
              <c:strCache>
                <c:ptCount val="1"/>
                <c:pt idx="0">
                  <c:v>Present value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'Page 32'!$A$9:$A$27</c:f>
              <c:numCache>
                <c:formatCode>0%</c:formatCode>
                <c:ptCount val="19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0.15</c:v>
                </c:pt>
                <c:pt idx="12">
                  <c:v>0.2</c:v>
                </c:pt>
                <c:pt idx="13">
                  <c:v>0.25</c:v>
                </c:pt>
                <c:pt idx="14">
                  <c:v>0.3</c:v>
                </c:pt>
                <c:pt idx="15">
                  <c:v>0.35</c:v>
                </c:pt>
                <c:pt idx="16">
                  <c:v>0.4</c:v>
                </c:pt>
                <c:pt idx="17">
                  <c:v>0.45</c:v>
                </c:pt>
                <c:pt idx="18">
                  <c:v>0.5</c:v>
                </c:pt>
              </c:numCache>
            </c:numRef>
          </c:xVal>
          <c:yVal>
            <c:numRef>
              <c:f>'Page 32'!$B$9:$B$27</c:f>
              <c:numCache>
                <c:formatCode>#,##0.00</c:formatCode>
                <c:ptCount val="19"/>
                <c:pt idx="0">
                  <c:v>100</c:v>
                </c:pt>
                <c:pt idx="1">
                  <c:v>97.059014792764458</c:v>
                </c:pt>
                <c:pt idx="2">
                  <c:v>94.232233454704456</c:v>
                </c:pt>
                <c:pt idx="3">
                  <c:v>91.514165935315958</c:v>
                </c:pt>
                <c:pt idx="4">
                  <c:v>88.899635867091476</c:v>
                </c:pt>
                <c:pt idx="5">
                  <c:v>86.383759853147595</c:v>
                </c:pt>
                <c:pt idx="6">
                  <c:v>83.961928303230167</c:v>
                </c:pt>
                <c:pt idx="7">
                  <c:v>81.629787689085191</c:v>
                </c:pt>
                <c:pt idx="8">
                  <c:v>79.383224102016953</c:v>
                </c:pt>
                <c:pt idx="9">
                  <c:v>77.21834800610641</c:v>
                </c:pt>
                <c:pt idx="10">
                  <c:v>75.131480090157751</c:v>
                </c:pt>
                <c:pt idx="11">
                  <c:v>65.751623243198836</c:v>
                </c:pt>
                <c:pt idx="12">
                  <c:v>57.870370370370374</c:v>
                </c:pt>
                <c:pt idx="13">
                  <c:v>51.2</c:v>
                </c:pt>
                <c:pt idx="14">
                  <c:v>45.516613563950834</c:v>
                </c:pt>
                <c:pt idx="15">
                  <c:v>40.64421074023268</c:v>
                </c:pt>
                <c:pt idx="16">
                  <c:v>36.443148688046655</c:v>
                </c:pt>
                <c:pt idx="17">
                  <c:v>32.801672885317153</c:v>
                </c:pt>
                <c:pt idx="18">
                  <c:v>29.62962962962963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EB9-462E-B2FD-F1B0E4F3A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913856"/>
        <c:axId val="223915392"/>
      </c:scatterChart>
      <c:valAx>
        <c:axId val="223913856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915392"/>
        <c:crosses val="autoZero"/>
        <c:crossBetween val="midCat"/>
      </c:valAx>
      <c:valAx>
        <c:axId val="22391539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913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 Deposit Required to Fund 20 Years of $100,000 When Joe is 65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3519327470459477"/>
          <c:y val="0.24653523168938921"/>
          <c:w val="0.8111596482275687"/>
          <c:h val="0.53536102104883954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45 bottom'!$A$12:$A$27</c:f>
              <c:numCache>
                <c:formatCode>General</c:formatCode>
                <c:ptCount val="16"/>
                <c:pt idx="0">
                  <c:v>20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28</c:v>
                </c:pt>
                <c:pt idx="5">
                  <c:v>30</c:v>
                </c:pt>
                <c:pt idx="6">
                  <c:v>32</c:v>
                </c:pt>
                <c:pt idx="7">
                  <c:v>34</c:v>
                </c:pt>
                <c:pt idx="8">
                  <c:v>35</c:v>
                </c:pt>
                <c:pt idx="9">
                  <c:v>38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</c:numCache>
            </c:numRef>
          </c:xVal>
          <c:yVal>
            <c:numRef>
              <c:f>'Page 45 bottom'!$B$12:$B$27</c:f>
              <c:numCache>
                <c:formatCode>#,##0.00</c:formatCode>
                <c:ptCount val="16"/>
                <c:pt idx="0">
                  <c:v>2540.234078365369</c:v>
                </c:pt>
                <c:pt idx="1">
                  <c:v>2978.960459018685</c:v>
                </c:pt>
                <c:pt idx="2">
                  <c:v>3496.7273432059865</c:v>
                </c:pt>
                <c:pt idx="3">
                  <c:v>4109.0220286050908</c:v>
                </c:pt>
                <c:pt idx="4">
                  <c:v>4834.851009530993</c:v>
                </c:pt>
                <c:pt idx="5">
                  <c:v>5697.7306901180746</c:v>
                </c:pt>
                <c:pt idx="6">
                  <c:v>6727.0336898724736</c:v>
                </c:pt>
                <c:pt idx="7">
                  <c:v>7959.8510809060745</c:v>
                </c:pt>
                <c:pt idx="8">
                  <c:v>8666.9042225678822</c:v>
                </c:pt>
                <c:pt idx="9">
                  <c:v>11239.909610052853</c:v>
                </c:pt>
                <c:pt idx="10">
                  <c:v>13430.026908615269</c:v>
                </c:pt>
                <c:pt idx="11">
                  <c:v>16123.527747283038</c:v>
                </c:pt>
                <c:pt idx="12">
                  <c:v>19471.595708212833</c:v>
                </c:pt>
                <c:pt idx="13">
                  <c:v>23688.860322180873</c:v>
                </c:pt>
                <c:pt idx="14">
                  <c:v>29090.612605324743</c:v>
                </c:pt>
                <c:pt idx="15">
                  <c:v>36159.790113112242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F9A-4975-81A7-DD52C4C0F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241152"/>
        <c:axId val="224354304"/>
      </c:scatterChart>
      <c:valAx>
        <c:axId val="224241152"/>
        <c:scaling>
          <c:orientation val="minMax"/>
          <c:max val="5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Joe's age at start of plan</a:t>
                </a:r>
              </a:p>
            </c:rich>
          </c:tx>
          <c:layout>
            <c:manualLayout>
              <c:xMode val="edge"/>
              <c:yMode val="edge"/>
              <c:x val="0.3712450857805864"/>
              <c:y val="0.8888923452469663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354304"/>
        <c:crosses val="autoZero"/>
        <c:crossBetween val="midCat"/>
      </c:valAx>
      <c:valAx>
        <c:axId val="22435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4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1" r="0.750000000000001" t="1" header="0.5" footer="0.5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</xdr:colOff>
      <xdr:row>13</xdr:row>
      <xdr:rowOff>28575</xdr:rowOff>
    </xdr:from>
    <xdr:to>
      <xdr:col>6</xdr:col>
      <xdr:colOff>541019</xdr:colOff>
      <xdr:row>28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9B420C6E-9470-4169-9F8C-3201D9CDC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194310</xdr:colOff>
      <xdr:row>26</xdr:row>
      <xdr:rowOff>68580</xdr:rowOff>
    </xdr:from>
    <xdr:to>
      <xdr:col>4</xdr:col>
      <xdr:colOff>299085</xdr:colOff>
      <xdr:row>43</xdr:row>
      <xdr:rowOff>40005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xmlns="" id="{52061318-1182-42E1-9404-E22595EC82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3</xdr:row>
      <xdr:rowOff>9525</xdr:rowOff>
    </xdr:from>
    <xdr:to>
      <xdr:col>1</xdr:col>
      <xdr:colOff>285750</xdr:colOff>
      <xdr:row>5</xdr:row>
      <xdr:rowOff>47625</xdr:rowOff>
    </xdr:to>
    <xdr:cxnSp macro="">
      <xdr:nvCxnSpPr>
        <xdr:cNvPr id="2" name="Straight Arrow Connector 6">
          <a:extLst>
            <a:ext uri="{FF2B5EF4-FFF2-40B4-BE49-F238E27FC236}">
              <a16:creationId xmlns:a16="http://schemas.microsoft.com/office/drawing/2014/main" xmlns="" id="{EEB6E05E-83A0-43BA-84C7-D9090AF8CBB7}"/>
            </a:ext>
          </a:extLst>
        </xdr:cNvPr>
        <xdr:cNvCxnSpPr>
          <a:cxnSpLocks noChangeShapeType="1"/>
        </xdr:cNvCxnSpPr>
      </xdr:nvCxnSpPr>
      <xdr:spPr bwMode="auto">
        <a:xfrm rot="16200000" flipH="1">
          <a:off x="486728" y="420052"/>
          <a:ext cx="350520" cy="46672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3</xdr:col>
      <xdr:colOff>742950</xdr:colOff>
      <xdr:row>2</xdr:row>
      <xdr:rowOff>152400</xdr:rowOff>
    </xdr:from>
    <xdr:to>
      <xdr:col>5</xdr:col>
      <xdr:colOff>304800</xdr:colOff>
      <xdr:row>5</xdr:row>
      <xdr:rowOff>85725</xdr:rowOff>
    </xdr:to>
    <xdr:cxnSp macro="">
      <xdr:nvCxnSpPr>
        <xdr:cNvPr id="3" name="Straight Arrow Connector 8">
          <a:extLst>
            <a:ext uri="{FF2B5EF4-FFF2-40B4-BE49-F238E27FC236}">
              <a16:creationId xmlns:a16="http://schemas.microsoft.com/office/drawing/2014/main" xmlns="" id="{564823CC-1494-4740-834C-496D452A3D32}"/>
            </a:ext>
          </a:extLst>
        </xdr:cNvPr>
        <xdr:cNvCxnSpPr>
          <a:cxnSpLocks noChangeShapeType="1"/>
        </xdr:cNvCxnSpPr>
      </xdr:nvCxnSpPr>
      <xdr:spPr bwMode="auto">
        <a:xfrm rot="10800000" flipV="1">
          <a:off x="2438400" y="464820"/>
          <a:ext cx="914400" cy="40195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731520</xdr:colOff>
      <xdr:row>2</xdr:row>
      <xdr:rowOff>154305</xdr:rowOff>
    </xdr:from>
    <xdr:to>
      <xdr:col>5</xdr:col>
      <xdr:colOff>285750</xdr:colOff>
      <xdr:row>5</xdr:row>
      <xdr:rowOff>57150</xdr:rowOff>
    </xdr:to>
    <xdr:sp macro="" textlink="">
      <xdr:nvSpPr>
        <xdr:cNvPr id="2" name="Line 8">
          <a:extLst>
            <a:ext uri="{FF2B5EF4-FFF2-40B4-BE49-F238E27FC236}">
              <a16:creationId xmlns:a16="http://schemas.microsoft.com/office/drawing/2014/main" xmlns="" id="{97A99064-C0EE-475B-99FB-83CE8076EEBF}"/>
            </a:ext>
          </a:extLst>
        </xdr:cNvPr>
        <xdr:cNvSpPr>
          <a:spLocks noChangeShapeType="1"/>
        </xdr:cNvSpPr>
      </xdr:nvSpPr>
      <xdr:spPr bwMode="auto">
        <a:xfrm flipH="1">
          <a:off x="3162300" y="813435"/>
          <a:ext cx="1112520" cy="683895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med" len="med"/>
          <a:tailEnd type="arrow" w="med" len="med"/>
        </a:ln>
      </xdr:spPr>
    </xdr:sp>
    <xdr:clientData/>
  </xdr:twoCellAnchor>
  <xdr:twoCellAnchor>
    <xdr:from>
      <xdr:col>0</xdr:col>
      <xdr:colOff>466725</xdr:colOff>
      <xdr:row>3</xdr:row>
      <xdr:rowOff>0</xdr:rowOff>
    </xdr:from>
    <xdr:to>
      <xdr:col>1</xdr:col>
      <xdr:colOff>590550</xdr:colOff>
      <xdr:row>5</xdr:row>
      <xdr:rowOff>95250</xdr:rowOff>
    </xdr:to>
    <xdr:cxnSp macro="">
      <xdr:nvCxnSpPr>
        <xdr:cNvPr id="3" name="Straight Arrow Connector 6">
          <a:extLst>
            <a:ext uri="{FF2B5EF4-FFF2-40B4-BE49-F238E27FC236}">
              <a16:creationId xmlns:a16="http://schemas.microsoft.com/office/drawing/2014/main" xmlns="" id="{69DE731F-545C-4363-AC79-C2011C5398D1}"/>
            </a:ext>
          </a:extLst>
        </xdr:cNvPr>
        <xdr:cNvCxnSpPr>
          <a:cxnSpLocks noChangeShapeType="1"/>
        </xdr:cNvCxnSpPr>
      </xdr:nvCxnSpPr>
      <xdr:spPr bwMode="auto">
        <a:xfrm>
          <a:off x="466725" y="468630"/>
          <a:ext cx="733425" cy="40767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5952</xdr:colOff>
      <xdr:row>11</xdr:row>
      <xdr:rowOff>31353</xdr:rowOff>
    </xdr:from>
    <xdr:to>
      <xdr:col>8</xdr:col>
      <xdr:colOff>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</xdr:colOff>
      <xdr:row>6</xdr:row>
      <xdr:rowOff>79375</xdr:rowOff>
    </xdr:from>
    <xdr:to>
      <xdr:col>2</xdr:col>
      <xdr:colOff>3023457</xdr:colOff>
      <xdr:row>21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75" y="1209675"/>
          <a:ext cx="5325332" cy="27971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521804</xdr:colOff>
      <xdr:row>2</xdr:row>
      <xdr:rowOff>49696</xdr:rowOff>
    </xdr:from>
    <xdr:to>
      <xdr:col>4</xdr:col>
      <xdr:colOff>636257</xdr:colOff>
      <xdr:row>9</xdr:row>
      <xdr:rowOff>14728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22543" y="463826"/>
          <a:ext cx="2085714" cy="144761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9525</xdr:rowOff>
    </xdr:from>
    <xdr:to>
      <xdr:col>2</xdr:col>
      <xdr:colOff>4514850</xdr:colOff>
      <xdr:row>28</xdr:row>
      <xdr:rowOff>57150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xmlns="" id="{C3DD4F7C-0CEC-490B-8FDC-0041D6B75E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Personal/bal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sheet"/>
      <sheetName val="Retirement"/>
      <sheetName val="simplified"/>
      <sheetName val="Asset allocation chart"/>
      <sheetName val="Unit sales"/>
      <sheetName val="Dollar sales"/>
      <sheetName val="Royalties"/>
      <sheetName val="2006"/>
      <sheetName val="2005"/>
      <sheetName val="2004"/>
      <sheetName val="2003"/>
      <sheetName val="2002"/>
      <sheetName val="2001"/>
      <sheetName val="2000"/>
      <sheetName val="1999"/>
      <sheetName val="BS royalties"/>
      <sheetName val="FM, ed2"/>
      <sheetName val="FM, ed1"/>
      <sheetName val="MGH sales"/>
      <sheetName val="Mamma"/>
      <sheetName val="Sold to finance Carm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B2" sqref="B2"/>
    </sheetView>
  </sheetViews>
  <sheetFormatPr defaultRowHeight="12.75" x14ac:dyDescent="0.2"/>
  <cols>
    <col min="1" max="1" width="15.5703125" bestFit="1" customWidth="1"/>
    <col min="2" max="2" width="102.42578125" bestFit="1" customWidth="1"/>
  </cols>
  <sheetData>
    <row r="1" spans="1:5" x14ac:dyDescent="0.2">
      <c r="A1" s="57" t="s">
        <v>93</v>
      </c>
      <c r="B1" s="57"/>
    </row>
    <row r="2" spans="1:5" x14ac:dyDescent="0.2">
      <c r="A2" s="26" t="s">
        <v>94</v>
      </c>
      <c r="B2" s="26" t="s">
        <v>95</v>
      </c>
    </row>
    <row r="3" spans="1:5" x14ac:dyDescent="0.2">
      <c r="A3" s="56" t="s">
        <v>96</v>
      </c>
      <c r="B3" t="str">
        <f ca="1">INDIRECT(ADDRESS(1,1,1,1,A3))</f>
        <v>CALCULATING FUTURE VALUES WITH EXCEL</v>
      </c>
    </row>
    <row r="4" spans="1:5" x14ac:dyDescent="0.2">
      <c r="A4" s="56" t="s">
        <v>97</v>
      </c>
      <c r="B4" t="str">
        <f t="shared" ref="B4:B24" ca="1" si="0">INDIRECT(ADDRESS(1,1,1,1,A4))</f>
        <v>THE FUTURE VALUE OF A SINGLE $100 DEPOSIT</v>
      </c>
    </row>
    <row r="5" spans="1:5" x14ac:dyDescent="0.2">
      <c r="A5" s="56" t="s">
        <v>98</v>
      </c>
      <c r="B5" t="str">
        <f t="shared" ca="1" si="0"/>
        <v>FUTURE VALUE OF A SINGLE DEPOSIT AT DIFFERENT INTEREST RATES
How $100 at time 0 grows at  0%, 6%, 12%</v>
      </c>
    </row>
    <row r="6" spans="1:5" x14ac:dyDescent="0.2">
      <c r="A6" s="56" t="s">
        <v>99</v>
      </c>
      <c r="B6" t="str">
        <f t="shared" ca="1" si="0"/>
        <v>FUTURE VALUE WITH ANNUAL DEPOSITS
at beginning of year</v>
      </c>
    </row>
    <row r="7" spans="1:5" x14ac:dyDescent="0.2">
      <c r="A7" s="56" t="s">
        <v>100</v>
      </c>
      <c r="B7" t="str">
        <f t="shared" ca="1" si="0"/>
        <v>FUTURE VALUE WITH ANNUAL DEPOSITS
at end of year</v>
      </c>
    </row>
    <row r="8" spans="1:5" x14ac:dyDescent="0.2">
      <c r="A8" s="56" t="s">
        <v>101</v>
      </c>
      <c r="B8" t="str">
        <f t="shared" ca="1" si="0"/>
        <v>SIMPLE PRESENT VALUE CALCULATION</v>
      </c>
    </row>
    <row r="9" spans="1:5" x14ac:dyDescent="0.2">
      <c r="A9" s="56" t="s">
        <v>102</v>
      </c>
      <c r="B9" t="str">
        <f t="shared" ca="1" si="0"/>
        <v>THE PRESENT VALUE OF $100 IN 3 YEARS
In this example we vary the discount rate r</v>
      </c>
    </row>
    <row r="10" spans="1:5" x14ac:dyDescent="0.2">
      <c r="A10" s="56" t="s">
        <v>103</v>
      </c>
      <c r="B10" t="str">
        <f t="shared" ca="1" si="0"/>
        <v>PRESENT VALUE OF AN ANNUITY
FIVE ANNUAL PAYMENTS OF $100 EACH</v>
      </c>
    </row>
    <row r="11" spans="1:5" x14ac:dyDescent="0.2">
      <c r="A11" s="56" t="s">
        <v>104</v>
      </c>
      <c r="B11" t="str">
        <f t="shared" ca="1" si="0"/>
        <v>PRESENT VALUE OF A PERPETUITY</v>
      </c>
    </row>
    <row r="12" spans="1:5" x14ac:dyDescent="0.2">
      <c r="A12" s="56" t="s">
        <v>105</v>
      </c>
      <c r="B12" t="str">
        <f t="shared" ca="1" si="0"/>
        <v>CALCULATING PRESENT VALUES WITH EXCEL</v>
      </c>
    </row>
    <row r="13" spans="1:5" x14ac:dyDescent="0.2">
      <c r="A13" s="56" t="s">
        <v>106</v>
      </c>
      <c r="B13" t="str">
        <f t="shared" ca="1" si="0"/>
        <v>HELPING MARIO SAVE FOR A CAR</v>
      </c>
    </row>
    <row r="14" spans="1:5" x14ac:dyDescent="0.2">
      <c r="A14" s="56" t="s">
        <v>107</v>
      </c>
      <c r="B14" t="str">
        <f t="shared" ca="1" si="0"/>
        <v>HELPING MARIO SAVE FOR A CAR</v>
      </c>
    </row>
    <row r="15" spans="1:5" x14ac:dyDescent="0.2">
      <c r="A15" s="56" t="s">
        <v>108</v>
      </c>
      <c r="B15" t="str">
        <f t="shared" ca="1" si="0"/>
        <v>HELPING MARIO SAVE FOR A CAR</v>
      </c>
      <c r="E15" t="s">
        <v>118</v>
      </c>
    </row>
    <row r="16" spans="1:5" x14ac:dyDescent="0.2">
      <c r="A16" s="56" t="s">
        <v>109</v>
      </c>
      <c r="B16" t="str">
        <f t="shared" ca="1" si="0"/>
        <v>SAVING FOR COLLEGE</v>
      </c>
    </row>
    <row r="17" spans="1:2" x14ac:dyDescent="0.2">
      <c r="A17" s="56" t="s">
        <v>110</v>
      </c>
      <c r="B17" t="str">
        <f t="shared" ca="1" si="0"/>
        <v>SAVING FOR COLLEGE</v>
      </c>
    </row>
    <row r="18" spans="1:2" x14ac:dyDescent="0.2">
      <c r="A18" s="56" t="s">
        <v>111</v>
      </c>
      <c r="B18" t="str">
        <f t="shared" ca="1" si="0"/>
        <v>SAVING FOR COLLEGE</v>
      </c>
    </row>
    <row r="19" spans="1:2" x14ac:dyDescent="0.2">
      <c r="A19" s="56" t="s">
        <v>112</v>
      </c>
      <c r="B19" t="str">
        <f t="shared" ca="1" si="0"/>
        <v>SAVING FOR COLLEGE
Using PV and PMT functions</v>
      </c>
    </row>
    <row r="20" spans="1:2" x14ac:dyDescent="0.2">
      <c r="A20" s="56" t="s">
        <v>113</v>
      </c>
      <c r="B20" t="str">
        <f t="shared" ca="1" si="0"/>
        <v>SAVING FOR COLLEGE
PV function is inside the PMT function</v>
      </c>
    </row>
    <row r="21" spans="1:2" x14ac:dyDescent="0.2">
      <c r="A21" s="56" t="s">
        <v>114</v>
      </c>
      <c r="B21" t="str">
        <f t="shared" ca="1" si="0"/>
        <v>SAVING FOR RETIREMENT</v>
      </c>
    </row>
    <row r="22" spans="1:2" x14ac:dyDescent="0.2">
      <c r="A22" s="56" t="s">
        <v>115</v>
      </c>
      <c r="B22" t="str">
        <f t="shared" ca="1" si="0"/>
        <v>FUTURE VALUE FORMULA</v>
      </c>
    </row>
    <row r="23" spans="1:2" x14ac:dyDescent="0.2">
      <c r="A23" s="56" t="s">
        <v>116</v>
      </c>
      <c r="B23" t="str">
        <f t="shared" ca="1" si="0"/>
        <v>ANNUITY FORMULAS</v>
      </c>
    </row>
    <row r="24" spans="1:2" x14ac:dyDescent="0.2">
      <c r="A24" s="56" t="s">
        <v>117</v>
      </c>
      <c r="B24" t="str">
        <f t="shared" ca="1" si="0"/>
        <v>A CONSTANT-GROWTH CASH FLOW</v>
      </c>
    </row>
  </sheetData>
  <mergeCells count="1">
    <mergeCell ref="A1:B1"/>
  </mergeCells>
  <hyperlinks>
    <hyperlink ref="A3" location="'Page 20'!A1" display="'Page 20'!A1"/>
    <hyperlink ref="A4" location="'Page 21'!A1" display="'Page 21'!A1"/>
    <hyperlink ref="A5" location="'Page 22'!A1" display="'Page 22'!A1"/>
    <hyperlink ref="A6" location="'Page 23'!A1" display="'Page 23'!A1"/>
    <hyperlink ref="A7" location="'Page 26'!A1" display="'Page 26'!A1"/>
    <hyperlink ref="A8" location="'Page 31'!A1" display="'Page 31'!A1"/>
    <hyperlink ref="A9" location="'Page 32'!A1" display="'Page 32'!A1"/>
    <hyperlink ref="A10" location="'Page 33'!A1" display="'Page 33'!A1"/>
    <hyperlink ref="A11" location="'Page 34'!A1" display="'Page 34'!A1"/>
    <hyperlink ref="A12" location="'Page 37'!A1" display="'Page 37'!A1"/>
    <hyperlink ref="A13" location="'Page 39'!A1" display="'Page 39'!A1"/>
    <hyperlink ref="A14" location="'Page 40'!A1" display="'Page 40'!A1"/>
    <hyperlink ref="A15" location="'Page 41'!A1" display="'Page 41'!A1"/>
    <hyperlink ref="A16" location="'Page 42'!A1" display="'Page 42'!A1"/>
    <hyperlink ref="A17" location="'Page 43'!A1" display="'Page 43'!A1"/>
    <hyperlink ref="A18" location="'Page 44'!A1" display="'Page 44'!A1"/>
    <hyperlink ref="A19" location="'Page 44 bottom'!A1" display="'Page 44 bottom'!A1"/>
    <hyperlink ref="A20" location="'Page 45'!A1" display="'Page 45'!A1"/>
    <hyperlink ref="A21" location="'Page 45 bottom'!A1" display="'Page 45 bottom'!A1"/>
    <hyperlink ref="A22" location="'Appendix, page 55'!A1" display="'Appendix, page 55'!A1"/>
    <hyperlink ref="A23" location="'Appendix, page 56'!A1" display="'Appendix, page 56'!A1"/>
    <hyperlink ref="A24" location="'Appendix, page 57'!A1" display="'Appendix, page 57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6"/>
  <sheetViews>
    <sheetView workbookViewId="0">
      <selection activeCell="C18" sqref="C18"/>
    </sheetView>
  </sheetViews>
  <sheetFormatPr defaultColWidth="8.85546875" defaultRowHeight="12.75" x14ac:dyDescent="0.2"/>
  <cols>
    <col min="1" max="1" width="26.28515625" style="29" customWidth="1"/>
    <col min="2" max="2" width="8.85546875" style="29"/>
    <col min="3" max="3" width="33.7109375" style="29" customWidth="1"/>
    <col min="4" max="16384" width="8.85546875" style="29"/>
  </cols>
  <sheetData>
    <row r="1" spans="1:3" ht="19.5" customHeight="1" x14ac:dyDescent="0.2">
      <c r="A1" s="58" t="s">
        <v>45</v>
      </c>
      <c r="B1" s="58"/>
      <c r="C1" s="58"/>
    </row>
    <row r="2" spans="1:3" x14ac:dyDescent="0.2">
      <c r="A2" s="30" t="s">
        <v>44</v>
      </c>
      <c r="B2" s="29">
        <v>100</v>
      </c>
    </row>
    <row r="3" spans="1:3" x14ac:dyDescent="0.2">
      <c r="A3" s="30" t="s">
        <v>4</v>
      </c>
      <c r="B3" s="31">
        <v>0.06</v>
      </c>
    </row>
    <row r="4" spans="1:3" x14ac:dyDescent="0.2">
      <c r="A4" s="30" t="s">
        <v>43</v>
      </c>
      <c r="B4" s="29">
        <v>2</v>
      </c>
    </row>
    <row r="6" spans="1:3" x14ac:dyDescent="0.2">
      <c r="A6" s="30" t="s">
        <v>42</v>
      </c>
      <c r="B6" s="29">
        <f>B2*(1+B3)^B4</f>
        <v>112.36000000000001</v>
      </c>
      <c r="C6" s="29" t="str">
        <f ca="1">getformula(B6)</f>
        <v>&lt;-- =B2*(1+B3)^B4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8"/>
  <sheetViews>
    <sheetView topLeftCell="A4" workbookViewId="0">
      <selection activeCell="J27" sqref="J27"/>
    </sheetView>
  </sheetViews>
  <sheetFormatPr defaultColWidth="8.85546875" defaultRowHeight="12.75" x14ac:dyDescent="0.2"/>
  <cols>
    <col min="1" max="1" width="25.85546875" style="29" customWidth="1"/>
    <col min="2" max="2" width="8.85546875" style="29"/>
    <col min="3" max="3" width="22" style="29" customWidth="1"/>
    <col min="4" max="16384" width="8.85546875" style="29"/>
  </cols>
  <sheetData>
    <row r="1" spans="1:7" ht="18" x14ac:dyDescent="0.25">
      <c r="A1" s="59" t="s">
        <v>46</v>
      </c>
      <c r="B1" s="59"/>
      <c r="C1" s="59"/>
      <c r="D1" s="59"/>
      <c r="E1" s="59"/>
      <c r="F1" s="59"/>
      <c r="G1" s="59"/>
    </row>
    <row r="2" spans="1:7" x14ac:dyDescent="0.2">
      <c r="A2" s="29" t="s">
        <v>44</v>
      </c>
      <c r="B2" s="29">
        <v>100</v>
      </c>
    </row>
    <row r="3" spans="1:7" x14ac:dyDescent="0.2">
      <c r="A3" s="29" t="s">
        <v>4</v>
      </c>
      <c r="B3" s="31">
        <v>0.06</v>
      </c>
    </row>
    <row r="4" spans="1:7" x14ac:dyDescent="0.2">
      <c r="A4" s="29" t="s">
        <v>43</v>
      </c>
      <c r="B4" s="29">
        <v>2</v>
      </c>
      <c r="G4" s="32"/>
    </row>
    <row r="6" spans="1:7" x14ac:dyDescent="0.2">
      <c r="A6" s="29" t="s">
        <v>42</v>
      </c>
      <c r="B6" s="29">
        <f>B2*(1+B3)^B4</f>
        <v>112.36000000000001</v>
      </c>
      <c r="C6" s="29" t="str">
        <f ca="1">getformula(B6)</f>
        <v>&lt;-- =B2*(1+B3)^B4</v>
      </c>
    </row>
    <row r="8" spans="1:7" x14ac:dyDescent="0.2">
      <c r="A8" s="33" t="s">
        <v>3</v>
      </c>
      <c r="B8" s="34" t="s">
        <v>47</v>
      </c>
    </row>
    <row r="9" spans="1:7" x14ac:dyDescent="0.2">
      <c r="A9" s="35">
        <v>0</v>
      </c>
      <c r="B9" s="36">
        <f>$B$2*(1+$B$3)^A9</f>
        <v>100</v>
      </c>
      <c r="C9" s="29" t="str">
        <f ca="1">getformula(B9)</f>
        <v>&lt;-- =$B$2*(1+$B$3)^A9</v>
      </c>
    </row>
    <row r="10" spans="1:7" x14ac:dyDescent="0.2">
      <c r="A10" s="35">
        <v>1</v>
      </c>
      <c r="B10" s="36">
        <f t="shared" ref="B10:B29" si="0">$B$2*(1+$B$3)^A10</f>
        <v>106</v>
      </c>
      <c r="C10" s="29" t="str">
        <f ca="1">getformula(B10)</f>
        <v>&lt;-- =$B$2*(1+$B$3)^A10</v>
      </c>
    </row>
    <row r="11" spans="1:7" x14ac:dyDescent="0.2">
      <c r="A11" s="35">
        <v>2</v>
      </c>
      <c r="B11" s="36">
        <f t="shared" si="0"/>
        <v>112.36000000000001</v>
      </c>
      <c r="C11" s="29" t="str">
        <f ca="1">getformula(B11)</f>
        <v>&lt;-- =$B$2*(1+$B$3)^A11</v>
      </c>
    </row>
    <row r="12" spans="1:7" x14ac:dyDescent="0.2">
      <c r="A12" s="35">
        <v>3</v>
      </c>
      <c r="B12" s="36">
        <f t="shared" si="0"/>
        <v>119.10160000000003</v>
      </c>
      <c r="C12" s="29" t="str">
        <f ca="1">getformula(B12)</f>
        <v>&lt;-- =$B$2*(1+$B$3)^A12</v>
      </c>
    </row>
    <row r="13" spans="1:7" x14ac:dyDescent="0.2">
      <c r="A13" s="35">
        <v>4</v>
      </c>
      <c r="B13" s="36">
        <f t="shared" si="0"/>
        <v>126.24769600000003</v>
      </c>
      <c r="C13" s="29" t="str">
        <f ca="1">getformula(B13)</f>
        <v>&lt;-- =$B$2*(1+$B$3)^A13</v>
      </c>
    </row>
    <row r="14" spans="1:7" x14ac:dyDescent="0.2">
      <c r="A14" s="35">
        <v>5</v>
      </c>
      <c r="B14" s="36">
        <f t="shared" si="0"/>
        <v>133.82255776000005</v>
      </c>
    </row>
    <row r="15" spans="1:7" x14ac:dyDescent="0.2">
      <c r="A15" s="35">
        <v>6</v>
      </c>
      <c r="B15" s="36">
        <f t="shared" si="0"/>
        <v>141.85191122560005</v>
      </c>
    </row>
    <row r="16" spans="1:7" x14ac:dyDescent="0.2">
      <c r="A16" s="35">
        <v>7</v>
      </c>
      <c r="B16" s="36">
        <f t="shared" si="0"/>
        <v>150.36302589913609</v>
      </c>
    </row>
    <row r="17" spans="1:2" x14ac:dyDescent="0.2">
      <c r="A17" s="35">
        <v>8</v>
      </c>
      <c r="B17" s="36">
        <f t="shared" si="0"/>
        <v>159.38480745308422</v>
      </c>
    </row>
    <row r="18" spans="1:2" x14ac:dyDescent="0.2">
      <c r="A18" s="35">
        <v>9</v>
      </c>
      <c r="B18" s="36">
        <f t="shared" si="0"/>
        <v>168.94789590026929</v>
      </c>
    </row>
    <row r="19" spans="1:2" x14ac:dyDescent="0.2">
      <c r="A19" s="35">
        <v>10</v>
      </c>
      <c r="B19" s="36">
        <f t="shared" si="0"/>
        <v>179.08476965428545</v>
      </c>
    </row>
    <row r="20" spans="1:2" x14ac:dyDescent="0.2">
      <c r="A20" s="35">
        <v>11</v>
      </c>
      <c r="B20" s="36">
        <f t="shared" si="0"/>
        <v>189.82985583354261</v>
      </c>
    </row>
    <row r="21" spans="1:2" x14ac:dyDescent="0.2">
      <c r="A21" s="35">
        <v>12</v>
      </c>
      <c r="B21" s="36">
        <f t="shared" si="0"/>
        <v>201.2196471835552</v>
      </c>
    </row>
    <row r="22" spans="1:2" x14ac:dyDescent="0.2">
      <c r="A22" s="35">
        <v>13</v>
      </c>
      <c r="B22" s="36">
        <f t="shared" si="0"/>
        <v>213.2928260145685</v>
      </c>
    </row>
    <row r="23" spans="1:2" x14ac:dyDescent="0.2">
      <c r="A23" s="35">
        <v>14</v>
      </c>
      <c r="B23" s="36">
        <f t="shared" si="0"/>
        <v>226.09039557544261</v>
      </c>
    </row>
    <row r="24" spans="1:2" x14ac:dyDescent="0.2">
      <c r="A24" s="35">
        <v>15</v>
      </c>
      <c r="B24" s="36">
        <f t="shared" si="0"/>
        <v>239.65581930996925</v>
      </c>
    </row>
    <row r="25" spans="1:2" x14ac:dyDescent="0.2">
      <c r="A25" s="35">
        <v>16</v>
      </c>
      <c r="B25" s="36">
        <f t="shared" si="0"/>
        <v>254.03516846856732</v>
      </c>
    </row>
    <row r="26" spans="1:2" x14ac:dyDescent="0.2">
      <c r="A26" s="35">
        <v>17</v>
      </c>
      <c r="B26" s="36">
        <f t="shared" si="0"/>
        <v>269.2772785766814</v>
      </c>
    </row>
    <row r="27" spans="1:2" x14ac:dyDescent="0.2">
      <c r="A27" s="35">
        <v>18</v>
      </c>
      <c r="B27" s="36">
        <f t="shared" si="0"/>
        <v>285.43391529128229</v>
      </c>
    </row>
    <row r="28" spans="1:2" x14ac:dyDescent="0.2">
      <c r="A28" s="35">
        <v>19</v>
      </c>
      <c r="B28" s="36">
        <f t="shared" si="0"/>
        <v>302.55995020875923</v>
      </c>
    </row>
    <row r="29" spans="1:2" x14ac:dyDescent="0.2">
      <c r="A29" s="35">
        <v>20</v>
      </c>
      <c r="B29" s="36">
        <f t="shared" si="0"/>
        <v>320.71354722128478</v>
      </c>
    </row>
    <row r="38" spans="1:2" x14ac:dyDescent="0.2">
      <c r="A38" s="29" t="s">
        <v>48</v>
      </c>
      <c r="B38" s="29" t="str">
        <f>"How the Future Value Grows at "&amp;TEXT(B3,"0%")&amp;" Annual Interest"</f>
        <v>How the Future Value Grows at 6% Annual Interest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6"/>
  <sheetViews>
    <sheetView workbookViewId="0">
      <selection activeCell="F32" sqref="F32"/>
    </sheetView>
  </sheetViews>
  <sheetFormatPr defaultColWidth="8.85546875" defaultRowHeight="12.75" x14ac:dyDescent="0.2"/>
  <cols>
    <col min="1" max="1" width="25.85546875" style="29" customWidth="1"/>
    <col min="2" max="4" width="13.42578125" style="29" customWidth="1"/>
    <col min="5" max="5" width="27.140625" style="29" customWidth="1"/>
    <col min="6" max="16384" width="8.85546875" style="29"/>
  </cols>
  <sheetData>
    <row r="1" spans="1:5" ht="40.15" customHeight="1" x14ac:dyDescent="0.2">
      <c r="A1" s="58" t="s">
        <v>49</v>
      </c>
      <c r="B1" s="58"/>
      <c r="C1" s="58"/>
      <c r="D1" s="58"/>
      <c r="E1" s="58"/>
    </row>
    <row r="2" spans="1:5" x14ac:dyDescent="0.2">
      <c r="A2" s="29" t="s">
        <v>44</v>
      </c>
      <c r="B2" s="29">
        <v>100</v>
      </c>
    </row>
    <row r="3" spans="1:5" x14ac:dyDescent="0.2">
      <c r="A3" s="29" t="s">
        <v>4</v>
      </c>
      <c r="B3" s="31">
        <v>0</v>
      </c>
      <c r="C3" s="31">
        <v>0.06</v>
      </c>
      <c r="D3" s="31">
        <v>0.12</v>
      </c>
    </row>
    <row r="5" spans="1:5" x14ac:dyDescent="0.2">
      <c r="A5" s="33" t="s">
        <v>3</v>
      </c>
      <c r="B5" s="33" t="str">
        <f>"FV at "&amp;TEXT(B3,"0%")</f>
        <v>FV at 0%</v>
      </c>
      <c r="C5" s="33" t="str">
        <f>"FV at "&amp;TEXT(C3,"0%")</f>
        <v>FV at 6%</v>
      </c>
      <c r="D5" s="33" t="str">
        <f>"FV at "&amp;TEXT(D3,"0%")</f>
        <v>FV at 12%</v>
      </c>
    </row>
    <row r="6" spans="1:5" x14ac:dyDescent="0.2">
      <c r="A6" s="35">
        <v>0</v>
      </c>
      <c r="B6" s="36">
        <f t="shared" ref="B6:D26" si="0">$B$2*(1+B$3)^$A6</f>
        <v>100</v>
      </c>
      <c r="C6" s="36">
        <f t="shared" si="0"/>
        <v>100</v>
      </c>
      <c r="D6" s="36">
        <f t="shared" si="0"/>
        <v>100</v>
      </c>
      <c r="E6" s="29" t="str">
        <f ca="1">getformula(D6)</f>
        <v>&lt;-- =$B$2*(1+D$3)^$A6</v>
      </c>
    </row>
    <row r="7" spans="1:5" x14ac:dyDescent="0.2">
      <c r="A7" s="35">
        <v>1</v>
      </c>
      <c r="B7" s="36">
        <f t="shared" si="0"/>
        <v>100</v>
      </c>
      <c r="C7" s="36">
        <f t="shared" si="0"/>
        <v>106</v>
      </c>
      <c r="D7" s="36">
        <f t="shared" si="0"/>
        <v>112.00000000000001</v>
      </c>
      <c r="E7" s="29" t="str">
        <f ca="1">getformula(D7)</f>
        <v>&lt;-- =$B$2*(1+D$3)^$A7</v>
      </c>
    </row>
    <row r="8" spans="1:5" x14ac:dyDescent="0.2">
      <c r="A8" s="35">
        <v>2</v>
      </c>
      <c r="B8" s="36">
        <f t="shared" si="0"/>
        <v>100</v>
      </c>
      <c r="C8" s="36">
        <f t="shared" si="0"/>
        <v>112.36000000000001</v>
      </c>
      <c r="D8" s="36">
        <f t="shared" si="0"/>
        <v>125.44000000000001</v>
      </c>
    </row>
    <row r="9" spans="1:5" x14ac:dyDescent="0.2">
      <c r="A9" s="35">
        <v>3</v>
      </c>
      <c r="B9" s="36">
        <f t="shared" si="0"/>
        <v>100</v>
      </c>
      <c r="C9" s="36">
        <f t="shared" si="0"/>
        <v>119.10160000000003</v>
      </c>
      <c r="D9" s="36">
        <f t="shared" si="0"/>
        <v>140.49280000000005</v>
      </c>
    </row>
    <row r="10" spans="1:5" x14ac:dyDescent="0.2">
      <c r="A10" s="35">
        <v>4</v>
      </c>
      <c r="B10" s="36">
        <f t="shared" si="0"/>
        <v>100</v>
      </c>
      <c r="C10" s="36">
        <f t="shared" si="0"/>
        <v>126.24769600000003</v>
      </c>
      <c r="D10" s="36">
        <f t="shared" si="0"/>
        <v>157.35193600000002</v>
      </c>
    </row>
    <row r="11" spans="1:5" x14ac:dyDescent="0.2">
      <c r="A11" s="35">
        <v>5</v>
      </c>
      <c r="B11" s="36">
        <f t="shared" si="0"/>
        <v>100</v>
      </c>
      <c r="C11" s="36">
        <f t="shared" si="0"/>
        <v>133.82255776000005</v>
      </c>
      <c r="D11" s="36">
        <f t="shared" si="0"/>
        <v>176.23416832000004</v>
      </c>
    </row>
    <row r="12" spans="1:5" x14ac:dyDescent="0.2">
      <c r="A12" s="35">
        <v>6</v>
      </c>
      <c r="B12" s="36">
        <f t="shared" si="0"/>
        <v>100</v>
      </c>
      <c r="C12" s="36">
        <f t="shared" si="0"/>
        <v>141.85191122560005</v>
      </c>
      <c r="D12" s="36">
        <f t="shared" si="0"/>
        <v>197.38226851840008</v>
      </c>
    </row>
    <row r="13" spans="1:5" x14ac:dyDescent="0.2">
      <c r="A13" s="35">
        <v>7</v>
      </c>
      <c r="B13" s="36">
        <f t="shared" si="0"/>
        <v>100</v>
      </c>
      <c r="C13" s="36">
        <f t="shared" si="0"/>
        <v>150.36302589913609</v>
      </c>
      <c r="D13" s="36">
        <f t="shared" si="0"/>
        <v>221.0681407406081</v>
      </c>
    </row>
    <row r="14" spans="1:5" x14ac:dyDescent="0.2">
      <c r="A14" s="35">
        <v>8</v>
      </c>
      <c r="B14" s="36">
        <f t="shared" si="0"/>
        <v>100</v>
      </c>
      <c r="C14" s="36">
        <f t="shared" si="0"/>
        <v>159.38480745308422</v>
      </c>
      <c r="D14" s="36">
        <f t="shared" si="0"/>
        <v>247.59631762948109</v>
      </c>
    </row>
    <row r="15" spans="1:5" x14ac:dyDescent="0.2">
      <c r="A15" s="35">
        <v>9</v>
      </c>
      <c r="B15" s="36">
        <f t="shared" si="0"/>
        <v>100</v>
      </c>
      <c r="C15" s="36">
        <f t="shared" si="0"/>
        <v>168.94789590026929</v>
      </c>
      <c r="D15" s="36">
        <f t="shared" si="0"/>
        <v>277.3078757450188</v>
      </c>
    </row>
    <row r="16" spans="1:5" x14ac:dyDescent="0.2">
      <c r="A16" s="35">
        <v>10</v>
      </c>
      <c r="B16" s="36">
        <f t="shared" si="0"/>
        <v>100</v>
      </c>
      <c r="C16" s="36">
        <f t="shared" si="0"/>
        <v>179.08476965428545</v>
      </c>
      <c r="D16" s="36">
        <f t="shared" si="0"/>
        <v>310.58482083442112</v>
      </c>
    </row>
    <row r="17" spans="1:4" x14ac:dyDescent="0.2">
      <c r="A17" s="35">
        <v>11</v>
      </c>
      <c r="B17" s="36">
        <f t="shared" si="0"/>
        <v>100</v>
      </c>
      <c r="C17" s="36">
        <f t="shared" si="0"/>
        <v>189.82985583354261</v>
      </c>
      <c r="D17" s="36">
        <f t="shared" si="0"/>
        <v>347.85499933455174</v>
      </c>
    </row>
    <row r="18" spans="1:4" x14ac:dyDescent="0.2">
      <c r="A18" s="35">
        <v>12</v>
      </c>
      <c r="B18" s="36">
        <f t="shared" si="0"/>
        <v>100</v>
      </c>
      <c r="C18" s="36">
        <f t="shared" si="0"/>
        <v>201.2196471835552</v>
      </c>
      <c r="D18" s="36">
        <f t="shared" si="0"/>
        <v>389.59759925469785</v>
      </c>
    </row>
    <row r="19" spans="1:4" x14ac:dyDescent="0.2">
      <c r="A19" s="35">
        <v>13</v>
      </c>
      <c r="B19" s="36">
        <f t="shared" si="0"/>
        <v>100</v>
      </c>
      <c r="C19" s="36">
        <f t="shared" si="0"/>
        <v>213.2928260145685</v>
      </c>
      <c r="D19" s="36">
        <f t="shared" si="0"/>
        <v>436.34931116526172</v>
      </c>
    </row>
    <row r="20" spans="1:4" x14ac:dyDescent="0.2">
      <c r="A20" s="35">
        <v>14</v>
      </c>
      <c r="B20" s="36">
        <f t="shared" si="0"/>
        <v>100</v>
      </c>
      <c r="C20" s="36">
        <f t="shared" si="0"/>
        <v>226.09039557544261</v>
      </c>
      <c r="D20" s="36">
        <f t="shared" si="0"/>
        <v>488.71122850509312</v>
      </c>
    </row>
    <row r="21" spans="1:4" x14ac:dyDescent="0.2">
      <c r="A21" s="35">
        <v>15</v>
      </c>
      <c r="B21" s="36">
        <f t="shared" si="0"/>
        <v>100</v>
      </c>
      <c r="C21" s="36">
        <f t="shared" si="0"/>
        <v>239.65581930996925</v>
      </c>
      <c r="D21" s="36">
        <f t="shared" si="0"/>
        <v>547.35657592570431</v>
      </c>
    </row>
    <row r="22" spans="1:4" x14ac:dyDescent="0.2">
      <c r="A22" s="35">
        <v>16</v>
      </c>
      <c r="B22" s="36">
        <f t="shared" si="0"/>
        <v>100</v>
      </c>
      <c r="C22" s="36">
        <f t="shared" si="0"/>
        <v>254.03516846856732</v>
      </c>
      <c r="D22" s="36">
        <f t="shared" si="0"/>
        <v>613.03936503678892</v>
      </c>
    </row>
    <row r="23" spans="1:4" x14ac:dyDescent="0.2">
      <c r="A23" s="35">
        <v>17</v>
      </c>
      <c r="B23" s="36">
        <f t="shared" si="0"/>
        <v>100</v>
      </c>
      <c r="C23" s="36">
        <f t="shared" si="0"/>
        <v>269.2772785766814</v>
      </c>
      <c r="D23" s="36">
        <f t="shared" si="0"/>
        <v>686.60408884120363</v>
      </c>
    </row>
    <row r="24" spans="1:4" x14ac:dyDescent="0.2">
      <c r="A24" s="35">
        <v>18</v>
      </c>
      <c r="B24" s="36">
        <f t="shared" si="0"/>
        <v>100</v>
      </c>
      <c r="C24" s="36">
        <f t="shared" si="0"/>
        <v>285.43391529128229</v>
      </c>
      <c r="D24" s="36">
        <f t="shared" si="0"/>
        <v>768.99657950214817</v>
      </c>
    </row>
    <row r="25" spans="1:4" x14ac:dyDescent="0.2">
      <c r="A25" s="35">
        <v>19</v>
      </c>
      <c r="B25" s="36">
        <f t="shared" si="0"/>
        <v>100</v>
      </c>
      <c r="C25" s="36">
        <f t="shared" si="0"/>
        <v>302.55995020875923</v>
      </c>
      <c r="D25" s="36">
        <f t="shared" si="0"/>
        <v>861.27616904240597</v>
      </c>
    </row>
    <row r="26" spans="1:4" x14ac:dyDescent="0.2">
      <c r="A26" s="35">
        <v>20</v>
      </c>
      <c r="B26" s="36">
        <f t="shared" si="0"/>
        <v>100</v>
      </c>
      <c r="C26" s="36">
        <f t="shared" si="0"/>
        <v>320.71354722128478</v>
      </c>
      <c r="D26" s="36">
        <f t="shared" si="0"/>
        <v>964.62930932749464</v>
      </c>
    </row>
  </sheetData>
  <mergeCells count="1">
    <mergeCell ref="A1:E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16"/>
  <sheetViews>
    <sheetView workbookViewId="0">
      <selection activeCell="F4" sqref="F4"/>
    </sheetView>
  </sheetViews>
  <sheetFormatPr defaultColWidth="8.85546875" defaultRowHeight="12.75" x14ac:dyDescent="0.2"/>
  <cols>
    <col min="1" max="1" width="10" style="29" customWidth="1"/>
    <col min="2" max="2" width="15.140625" style="29" customWidth="1"/>
    <col min="3" max="3" width="10.28515625" style="29" customWidth="1"/>
    <col min="4" max="4" width="11.42578125" style="29" customWidth="1"/>
    <col min="5" max="5" width="11.28515625" style="29" customWidth="1"/>
    <col min="6" max="6" width="20.28515625" style="29" bestFit="1" customWidth="1"/>
    <col min="7" max="16384" width="8.85546875" style="29"/>
  </cols>
  <sheetData>
    <row r="1" spans="1:7" ht="39" customHeight="1" x14ac:dyDescent="0.25">
      <c r="A1" s="58" t="s">
        <v>55</v>
      </c>
      <c r="B1" s="58"/>
      <c r="C1" s="58"/>
      <c r="D1" s="58"/>
      <c r="E1" s="58"/>
      <c r="F1" s="58"/>
      <c r="G1" s="42"/>
    </row>
    <row r="2" spans="1:7" x14ac:dyDescent="0.2">
      <c r="A2" s="29" t="s">
        <v>54</v>
      </c>
      <c r="B2" s="31">
        <v>0.06</v>
      </c>
      <c r="C2" s="31"/>
    </row>
    <row r="3" spans="1:7" x14ac:dyDescent="0.2">
      <c r="A3" s="41" t="e">
        <f ca="1">_xlfn.FORMULATEXT(B6)</f>
        <v>#NAME?</v>
      </c>
      <c r="F3" s="41" t="e">
        <f ca="1">_xlfn.FORMULATEXT(D6)</f>
        <v>#NAME?</v>
      </c>
    </row>
    <row r="4" spans="1:7" ht="38.25" x14ac:dyDescent="0.2">
      <c r="A4" s="33" t="s">
        <v>3</v>
      </c>
      <c r="B4" s="40" t="s">
        <v>53</v>
      </c>
      <c r="C4" s="40" t="s">
        <v>52</v>
      </c>
      <c r="D4" s="40" t="s">
        <v>51</v>
      </c>
      <c r="E4" s="40" t="s">
        <v>50</v>
      </c>
    </row>
    <row r="5" spans="1:7" x14ac:dyDescent="0.2">
      <c r="A5" s="35">
        <v>1</v>
      </c>
      <c r="B5" s="39">
        <v>0</v>
      </c>
      <c r="C5" s="39">
        <v>100</v>
      </c>
      <c r="D5" s="39">
        <f t="shared" ref="D5:D14" si="0">(C5+B5)*$B$2</f>
        <v>6</v>
      </c>
      <c r="E5" s="38">
        <f>B5+C5+D5</f>
        <v>106</v>
      </c>
      <c r="F5" s="29" t="str">
        <f ca="1">getformula(E5)</f>
        <v>&lt;-- =B5+C5+D5</v>
      </c>
    </row>
    <row r="6" spans="1:7" x14ac:dyDescent="0.2">
      <c r="A6" s="35">
        <v>2</v>
      </c>
      <c r="B6" s="38">
        <f t="shared" ref="B6:B14" si="1">E5</f>
        <v>106</v>
      </c>
      <c r="C6" s="39">
        <v>100</v>
      </c>
      <c r="D6" s="39">
        <f t="shared" si="0"/>
        <v>12.36</v>
      </c>
      <c r="E6" s="39">
        <f>B6+C6+D6</f>
        <v>218.36</v>
      </c>
      <c r="F6" s="29" t="str">
        <f ca="1">getformula(E6)</f>
        <v>&lt;-- =B6+C6+D6</v>
      </c>
    </row>
    <row r="7" spans="1:7" x14ac:dyDescent="0.2">
      <c r="A7" s="35">
        <v>3</v>
      </c>
      <c r="B7" s="39">
        <f t="shared" si="1"/>
        <v>218.36</v>
      </c>
      <c r="C7" s="39">
        <v>100</v>
      </c>
      <c r="D7" s="39">
        <f t="shared" si="0"/>
        <v>19.101600000000001</v>
      </c>
      <c r="E7" s="39">
        <f t="shared" ref="E7:E14" si="2">D7+C7+B7</f>
        <v>337.46160000000003</v>
      </c>
    </row>
    <row r="8" spans="1:7" x14ac:dyDescent="0.2">
      <c r="A8" s="35">
        <v>4</v>
      </c>
      <c r="B8" s="39">
        <f t="shared" si="1"/>
        <v>337.46160000000003</v>
      </c>
      <c r="C8" s="39">
        <v>100</v>
      </c>
      <c r="D8" s="39">
        <f t="shared" si="0"/>
        <v>26.247696000000001</v>
      </c>
      <c r="E8" s="39">
        <f t="shared" si="2"/>
        <v>463.70929600000005</v>
      </c>
    </row>
    <row r="9" spans="1:7" x14ac:dyDescent="0.2">
      <c r="A9" s="35">
        <v>5</v>
      </c>
      <c r="B9" s="39">
        <f t="shared" si="1"/>
        <v>463.70929600000005</v>
      </c>
      <c r="C9" s="39">
        <v>100</v>
      </c>
      <c r="D9" s="39">
        <f t="shared" si="0"/>
        <v>33.822557759999995</v>
      </c>
      <c r="E9" s="39">
        <f t="shared" si="2"/>
        <v>597.5318537600001</v>
      </c>
    </row>
    <row r="10" spans="1:7" x14ac:dyDescent="0.2">
      <c r="A10" s="35">
        <v>6</v>
      </c>
      <c r="B10" s="39">
        <f t="shared" si="1"/>
        <v>597.5318537600001</v>
      </c>
      <c r="C10" s="39">
        <v>100</v>
      </c>
      <c r="D10" s="39">
        <f t="shared" si="0"/>
        <v>41.851911225600006</v>
      </c>
      <c r="E10" s="39">
        <f t="shared" si="2"/>
        <v>739.38376498560012</v>
      </c>
    </row>
    <row r="11" spans="1:7" x14ac:dyDescent="0.2">
      <c r="A11" s="35">
        <v>7</v>
      </c>
      <c r="B11" s="39">
        <f t="shared" si="1"/>
        <v>739.38376498560012</v>
      </c>
      <c r="C11" s="39">
        <v>100</v>
      </c>
      <c r="D11" s="39">
        <f t="shared" si="0"/>
        <v>50.363025899136005</v>
      </c>
      <c r="E11" s="39">
        <f t="shared" si="2"/>
        <v>889.74679088473613</v>
      </c>
    </row>
    <row r="12" spans="1:7" x14ac:dyDescent="0.2">
      <c r="A12" s="35">
        <v>8</v>
      </c>
      <c r="B12" s="39">
        <f t="shared" si="1"/>
        <v>889.74679088473613</v>
      </c>
      <c r="C12" s="39">
        <v>100</v>
      </c>
      <c r="D12" s="39">
        <f t="shared" si="0"/>
        <v>59.384807453084164</v>
      </c>
      <c r="E12" s="39">
        <f t="shared" si="2"/>
        <v>1049.1315983378204</v>
      </c>
    </row>
    <row r="13" spans="1:7" x14ac:dyDescent="0.2">
      <c r="A13" s="35">
        <v>9</v>
      </c>
      <c r="B13" s="39">
        <f t="shared" si="1"/>
        <v>1049.1315983378204</v>
      </c>
      <c r="C13" s="39">
        <v>100</v>
      </c>
      <c r="D13" s="39">
        <f t="shared" si="0"/>
        <v>68.947895900269216</v>
      </c>
      <c r="E13" s="38">
        <f t="shared" si="2"/>
        <v>1218.0794942380896</v>
      </c>
    </row>
    <row r="14" spans="1:7" x14ac:dyDescent="0.2">
      <c r="A14" s="35">
        <v>10</v>
      </c>
      <c r="B14" s="38">
        <f t="shared" si="1"/>
        <v>1218.0794942380896</v>
      </c>
      <c r="C14" s="39">
        <v>100</v>
      </c>
      <c r="D14" s="39">
        <f t="shared" si="0"/>
        <v>79.084769654285381</v>
      </c>
      <c r="E14" s="38">
        <f t="shared" si="2"/>
        <v>1397.1642638923749</v>
      </c>
    </row>
    <row r="16" spans="1:7" x14ac:dyDescent="0.2">
      <c r="B16" s="37"/>
      <c r="D16" s="43" t="s">
        <v>56</v>
      </c>
      <c r="E16" s="32">
        <f>FV(B2,A14,-100,,1)</f>
        <v>1397.1642638923765</v>
      </c>
      <c r="F16" s="29" t="str">
        <f ca="1">getformula(E16)</f>
        <v>&lt;-- =FV(B2,A14,-100,,1)</v>
      </c>
    </row>
  </sheetData>
  <mergeCells count="1">
    <mergeCell ref="A1:F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G16"/>
  <sheetViews>
    <sheetView workbookViewId="0">
      <selection activeCell="F5" sqref="F5"/>
    </sheetView>
  </sheetViews>
  <sheetFormatPr defaultColWidth="8.85546875" defaultRowHeight="12.75" x14ac:dyDescent="0.2"/>
  <cols>
    <col min="1" max="1" width="10" style="29" customWidth="1"/>
    <col min="2" max="2" width="15.140625" style="29" customWidth="1"/>
    <col min="3" max="3" width="10.28515625" style="29" customWidth="1"/>
    <col min="4" max="4" width="11.42578125" style="29" customWidth="1"/>
    <col min="5" max="5" width="11.28515625" style="29" customWidth="1"/>
    <col min="6" max="6" width="14.5703125" style="29" customWidth="1"/>
    <col min="7" max="16384" width="8.85546875" style="29"/>
  </cols>
  <sheetData>
    <row r="1" spans="1:7" ht="39.75" customHeight="1" x14ac:dyDescent="0.25">
      <c r="A1" s="58" t="s">
        <v>58</v>
      </c>
      <c r="B1" s="58"/>
      <c r="C1" s="58"/>
      <c r="D1" s="58"/>
      <c r="E1" s="58"/>
      <c r="F1" s="58"/>
      <c r="G1" s="42"/>
    </row>
    <row r="2" spans="1:7" x14ac:dyDescent="0.2">
      <c r="A2" s="29" t="s">
        <v>54</v>
      </c>
      <c r="B2" s="31">
        <v>0.06</v>
      </c>
      <c r="C2" s="31"/>
    </row>
    <row r="3" spans="1:7" x14ac:dyDescent="0.2">
      <c r="A3" s="41" t="e">
        <f ca="1">_xlfn.FORMULATEXT(B6)</f>
        <v>#NAME?</v>
      </c>
      <c r="F3" s="44" t="e">
        <f ca="1">_xlfn.FORMULATEXT(D6)</f>
        <v>#NAME?</v>
      </c>
    </row>
    <row r="4" spans="1:7" ht="38.25" x14ac:dyDescent="0.2">
      <c r="A4" s="33" t="s">
        <v>3</v>
      </c>
      <c r="B4" s="40" t="s">
        <v>53</v>
      </c>
      <c r="C4" s="40" t="s">
        <v>57</v>
      </c>
      <c r="D4" s="40" t="s">
        <v>51</v>
      </c>
      <c r="E4" s="40" t="s">
        <v>50</v>
      </c>
    </row>
    <row r="5" spans="1:7" x14ac:dyDescent="0.2">
      <c r="A5" s="35">
        <v>1</v>
      </c>
      <c r="B5" s="39">
        <v>0</v>
      </c>
      <c r="C5" s="39">
        <v>100</v>
      </c>
      <c r="D5" s="39">
        <f t="shared" ref="D5:D14" si="0">$B$2*B5</f>
        <v>0</v>
      </c>
      <c r="E5" s="39">
        <f>B5+C5+D5</f>
        <v>100</v>
      </c>
      <c r="F5" s="29" t="str">
        <f ca="1">getformula(E5)</f>
        <v>&lt;-- =B5+C5+D5</v>
      </c>
    </row>
    <row r="6" spans="1:7" x14ac:dyDescent="0.2">
      <c r="A6" s="35">
        <v>2</v>
      </c>
      <c r="B6" s="39">
        <f t="shared" ref="B6:B14" si="1">E5</f>
        <v>100</v>
      </c>
      <c r="C6" s="39">
        <v>100</v>
      </c>
      <c r="D6" s="39">
        <f t="shared" si="0"/>
        <v>6</v>
      </c>
      <c r="E6" s="39">
        <f>B6+C6+D6</f>
        <v>206</v>
      </c>
      <c r="F6" s="29" t="str">
        <f ca="1">getformula(E6)</f>
        <v>&lt;-- =B6+C6+D6</v>
      </c>
    </row>
    <row r="7" spans="1:7" x14ac:dyDescent="0.2">
      <c r="A7" s="35">
        <v>3</v>
      </c>
      <c r="B7" s="39">
        <f t="shared" si="1"/>
        <v>206</v>
      </c>
      <c r="C7" s="39">
        <v>100</v>
      </c>
      <c r="D7" s="39">
        <f t="shared" si="0"/>
        <v>12.36</v>
      </c>
      <c r="E7" s="39">
        <f t="shared" ref="E7:E14" si="2">D7+C7+B7</f>
        <v>318.36</v>
      </c>
    </row>
    <row r="8" spans="1:7" x14ac:dyDescent="0.2">
      <c r="A8" s="35">
        <v>4</v>
      </c>
      <c r="B8" s="39">
        <f t="shared" si="1"/>
        <v>318.36</v>
      </c>
      <c r="C8" s="39">
        <v>100</v>
      </c>
      <c r="D8" s="39">
        <f t="shared" si="0"/>
        <v>19.101600000000001</v>
      </c>
      <c r="E8" s="39">
        <f t="shared" si="2"/>
        <v>437.46160000000003</v>
      </c>
    </row>
    <row r="9" spans="1:7" x14ac:dyDescent="0.2">
      <c r="A9" s="35">
        <v>5</v>
      </c>
      <c r="B9" s="39">
        <f t="shared" si="1"/>
        <v>437.46160000000003</v>
      </c>
      <c r="C9" s="39">
        <v>100</v>
      </c>
      <c r="D9" s="39">
        <f t="shared" si="0"/>
        <v>26.247696000000001</v>
      </c>
      <c r="E9" s="39">
        <f t="shared" si="2"/>
        <v>563.70929599999999</v>
      </c>
    </row>
    <row r="10" spans="1:7" x14ac:dyDescent="0.2">
      <c r="A10" s="35">
        <v>6</v>
      </c>
      <c r="B10" s="39">
        <f t="shared" si="1"/>
        <v>563.70929599999999</v>
      </c>
      <c r="C10" s="39">
        <v>100</v>
      </c>
      <c r="D10" s="39">
        <f t="shared" si="0"/>
        <v>33.822557759999995</v>
      </c>
      <c r="E10" s="39">
        <f t="shared" si="2"/>
        <v>697.53185375999999</v>
      </c>
    </row>
    <row r="11" spans="1:7" x14ac:dyDescent="0.2">
      <c r="A11" s="35">
        <v>7</v>
      </c>
      <c r="B11" s="39">
        <f t="shared" si="1"/>
        <v>697.53185375999999</v>
      </c>
      <c r="C11" s="39">
        <v>100</v>
      </c>
      <c r="D11" s="39">
        <f t="shared" si="0"/>
        <v>41.851911225599999</v>
      </c>
      <c r="E11" s="39">
        <f t="shared" si="2"/>
        <v>839.38376498560001</v>
      </c>
    </row>
    <row r="12" spans="1:7" x14ac:dyDescent="0.2">
      <c r="A12" s="35">
        <v>8</v>
      </c>
      <c r="B12" s="39">
        <f t="shared" si="1"/>
        <v>839.38376498560001</v>
      </c>
      <c r="C12" s="39">
        <v>100</v>
      </c>
      <c r="D12" s="39">
        <f t="shared" si="0"/>
        <v>50.363025899135998</v>
      </c>
      <c r="E12" s="39">
        <f t="shared" si="2"/>
        <v>989.74679088473601</v>
      </c>
    </row>
    <row r="13" spans="1:7" x14ac:dyDescent="0.2">
      <c r="A13" s="35">
        <v>9</v>
      </c>
      <c r="B13" s="39">
        <f t="shared" si="1"/>
        <v>989.74679088473601</v>
      </c>
      <c r="C13" s="39">
        <v>100</v>
      </c>
      <c r="D13" s="39">
        <f t="shared" si="0"/>
        <v>59.384807453084157</v>
      </c>
      <c r="E13" s="39">
        <f t="shared" si="2"/>
        <v>1149.1315983378202</v>
      </c>
    </row>
    <row r="14" spans="1:7" x14ac:dyDescent="0.2">
      <c r="A14" s="35">
        <v>10</v>
      </c>
      <c r="B14" s="39">
        <f t="shared" si="1"/>
        <v>1149.1315983378202</v>
      </c>
      <c r="C14" s="39">
        <v>100</v>
      </c>
      <c r="D14" s="39">
        <f t="shared" si="0"/>
        <v>68.947895900269202</v>
      </c>
      <c r="E14" s="39">
        <f t="shared" si="2"/>
        <v>1318.0794942380894</v>
      </c>
    </row>
    <row r="15" spans="1:7" x14ac:dyDescent="0.2">
      <c r="D15" s="39"/>
    </row>
    <row r="16" spans="1:7" x14ac:dyDescent="0.2">
      <c r="B16" s="29" t="s">
        <v>47</v>
      </c>
      <c r="C16" s="32">
        <f>FV(B2,A14,-100)</f>
        <v>1318.079494238091</v>
      </c>
      <c r="D16" s="39" t="str">
        <f ca="1">getformula(C16)</f>
        <v>&lt;-- =FV(B2,A14,-100)</v>
      </c>
    </row>
  </sheetData>
  <mergeCells count="1">
    <mergeCell ref="A1:F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"/>
  <sheetViews>
    <sheetView workbookViewId="0">
      <selection activeCell="F18" sqref="F18"/>
    </sheetView>
  </sheetViews>
  <sheetFormatPr defaultRowHeight="12.75" x14ac:dyDescent="0.2"/>
  <cols>
    <col min="1" max="1" width="30" customWidth="1"/>
    <col min="3" max="3" width="16.140625" bestFit="1" customWidth="1"/>
  </cols>
  <sheetData>
    <row r="1" spans="1:3" ht="18" x14ac:dyDescent="0.25">
      <c r="A1" s="60" t="s">
        <v>19</v>
      </c>
      <c r="B1" s="60"/>
      <c r="C1" s="60"/>
    </row>
    <row r="2" spans="1:3" x14ac:dyDescent="0.2">
      <c r="A2" s="24" t="s">
        <v>20</v>
      </c>
      <c r="B2" s="25">
        <v>100</v>
      </c>
    </row>
    <row r="3" spans="1:3" x14ac:dyDescent="0.2">
      <c r="A3" s="24" t="s">
        <v>21</v>
      </c>
      <c r="B3">
        <v>3</v>
      </c>
    </row>
    <row r="4" spans="1:3" x14ac:dyDescent="0.2">
      <c r="A4" s="24" t="s">
        <v>40</v>
      </c>
      <c r="B4" s="14">
        <v>0.06</v>
      </c>
    </row>
    <row r="5" spans="1:3" ht="14.25" x14ac:dyDescent="0.2">
      <c r="A5" s="24" t="s">
        <v>22</v>
      </c>
      <c r="B5" s="25">
        <f>B2/(1+B4)^B3</f>
        <v>83.961928303230167</v>
      </c>
      <c r="C5" t="str">
        <f ca="1">getformula(B5)</f>
        <v>&lt;-- =B2/(1+B4)^B3</v>
      </c>
    </row>
    <row r="7" spans="1:3" x14ac:dyDescent="0.2">
      <c r="A7" s="26" t="s">
        <v>23</v>
      </c>
    </row>
    <row r="8" spans="1:3" x14ac:dyDescent="0.2">
      <c r="A8" s="24" t="s">
        <v>24</v>
      </c>
      <c r="B8" s="25">
        <f>B5</f>
        <v>83.961928303230167</v>
      </c>
      <c r="C8" t="str">
        <f ca="1">getformula(B8)</f>
        <v>&lt;-- =B5</v>
      </c>
    </row>
    <row r="9" spans="1:3" x14ac:dyDescent="0.2">
      <c r="A9" s="24" t="s">
        <v>25</v>
      </c>
      <c r="B9" s="25">
        <f>B8*(1+B4)^B3</f>
        <v>100</v>
      </c>
      <c r="C9" t="str">
        <f ca="1">getformula(B9)</f>
        <v>&lt;-- =B8*(1+B4)^B3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7"/>
  <sheetViews>
    <sheetView zoomScale="85" zoomScaleNormal="85" workbookViewId="0">
      <selection activeCell="J8" sqref="J8"/>
    </sheetView>
  </sheetViews>
  <sheetFormatPr defaultRowHeight="12.75" x14ac:dyDescent="0.2"/>
  <cols>
    <col min="1" max="1" width="24.42578125" bestFit="1" customWidth="1"/>
    <col min="3" max="3" width="20.5703125" customWidth="1"/>
  </cols>
  <sheetData>
    <row r="1" spans="1:3" ht="36.950000000000003" customHeight="1" x14ac:dyDescent="0.2">
      <c r="A1" s="61" t="s">
        <v>59</v>
      </c>
      <c r="B1" s="61"/>
      <c r="C1" s="61"/>
    </row>
    <row r="2" spans="1:3" x14ac:dyDescent="0.2">
      <c r="A2" s="24" t="s">
        <v>20</v>
      </c>
      <c r="B2">
        <v>100</v>
      </c>
    </row>
    <row r="3" spans="1:3" x14ac:dyDescent="0.2">
      <c r="A3" s="24" t="s">
        <v>21</v>
      </c>
      <c r="B3">
        <v>3</v>
      </c>
    </row>
    <row r="4" spans="1:3" x14ac:dyDescent="0.2">
      <c r="A4" s="24" t="s">
        <v>40</v>
      </c>
      <c r="B4" s="14">
        <v>0.06</v>
      </c>
    </row>
    <row r="5" spans="1:3" ht="14.25" x14ac:dyDescent="0.2">
      <c r="A5" s="24" t="s">
        <v>22</v>
      </c>
      <c r="B5" s="25">
        <f>B2/(1+B4)^3</f>
        <v>83.961928303230167</v>
      </c>
      <c r="C5" t="str">
        <f ca="1">getformula(B5)</f>
        <v>&lt;-- =B2/(1+B4)^3</v>
      </c>
    </row>
    <row r="7" spans="1:3" x14ac:dyDescent="0.2">
      <c r="A7" t="s">
        <v>27</v>
      </c>
    </row>
    <row r="8" spans="1:3" s="27" customFormat="1" ht="25.5" x14ac:dyDescent="0.2">
      <c r="A8" s="15" t="s">
        <v>28</v>
      </c>
      <c r="B8" s="15" t="s">
        <v>29</v>
      </c>
    </row>
    <row r="9" spans="1:3" x14ac:dyDescent="0.2">
      <c r="A9" s="28">
        <v>0</v>
      </c>
      <c r="B9" s="25">
        <f>$B$2/(1+A9)^$B$3</f>
        <v>100</v>
      </c>
      <c r="C9" t="str">
        <f ca="1">getformula(B9)</f>
        <v>&lt;-- =$B$2/(1+A9)^$B$3</v>
      </c>
    </row>
    <row r="10" spans="1:3" x14ac:dyDescent="0.2">
      <c r="A10" s="28">
        <v>0.01</v>
      </c>
      <c r="B10" s="25">
        <f t="shared" ref="B10:B27" si="0">$B$2/(1+A10)^$B$3</f>
        <v>97.059014792764458</v>
      </c>
      <c r="C10" t="str">
        <f t="shared" ref="C10:C11" ca="1" si="1">getformula(B10)</f>
        <v>&lt;-- =$B$2/(1+A10)^$B$3</v>
      </c>
    </row>
    <row r="11" spans="1:3" x14ac:dyDescent="0.2">
      <c r="A11" s="28">
        <v>0.02</v>
      </c>
      <c r="B11" s="25">
        <f t="shared" si="0"/>
        <v>94.232233454704456</v>
      </c>
      <c r="C11" t="str">
        <f t="shared" ca="1" si="1"/>
        <v>&lt;-- =$B$2/(1+A11)^$B$3</v>
      </c>
    </row>
    <row r="12" spans="1:3" x14ac:dyDescent="0.2">
      <c r="A12" s="28">
        <v>0.03</v>
      </c>
      <c r="B12" s="25">
        <f t="shared" si="0"/>
        <v>91.514165935315958</v>
      </c>
    </row>
    <row r="13" spans="1:3" x14ac:dyDescent="0.2">
      <c r="A13" s="28">
        <v>0.04</v>
      </c>
      <c r="B13" s="25">
        <f t="shared" si="0"/>
        <v>88.899635867091476</v>
      </c>
    </row>
    <row r="14" spans="1:3" x14ac:dyDescent="0.2">
      <c r="A14" s="28">
        <v>0.05</v>
      </c>
      <c r="B14" s="25">
        <f t="shared" si="0"/>
        <v>86.383759853147595</v>
      </c>
    </row>
    <row r="15" spans="1:3" x14ac:dyDescent="0.2">
      <c r="A15" s="28">
        <v>0.06</v>
      </c>
      <c r="B15" s="25">
        <f t="shared" si="0"/>
        <v>83.961928303230167</v>
      </c>
    </row>
    <row r="16" spans="1:3" x14ac:dyDescent="0.2">
      <c r="A16" s="28">
        <v>7.0000000000000007E-2</v>
      </c>
      <c r="B16" s="25">
        <f t="shared" si="0"/>
        <v>81.629787689085191</v>
      </c>
    </row>
    <row r="17" spans="1:2" x14ac:dyDescent="0.2">
      <c r="A17" s="28">
        <v>0.08</v>
      </c>
      <c r="B17" s="25">
        <f t="shared" si="0"/>
        <v>79.383224102016953</v>
      </c>
    </row>
    <row r="18" spans="1:2" x14ac:dyDescent="0.2">
      <c r="A18" s="28">
        <v>0.09</v>
      </c>
      <c r="B18" s="25">
        <f t="shared" si="0"/>
        <v>77.21834800610641</v>
      </c>
    </row>
    <row r="19" spans="1:2" x14ac:dyDescent="0.2">
      <c r="A19" s="28">
        <v>0.1</v>
      </c>
      <c r="B19" s="25">
        <f t="shared" si="0"/>
        <v>75.131480090157751</v>
      </c>
    </row>
    <row r="20" spans="1:2" x14ac:dyDescent="0.2">
      <c r="A20" s="28">
        <v>0.15</v>
      </c>
      <c r="B20" s="25">
        <f t="shared" si="0"/>
        <v>65.751623243198836</v>
      </c>
    </row>
    <row r="21" spans="1:2" x14ac:dyDescent="0.2">
      <c r="A21" s="28">
        <v>0.2</v>
      </c>
      <c r="B21" s="25">
        <f t="shared" si="0"/>
        <v>57.870370370370374</v>
      </c>
    </row>
    <row r="22" spans="1:2" x14ac:dyDescent="0.2">
      <c r="A22" s="28">
        <v>0.25</v>
      </c>
      <c r="B22" s="25">
        <f t="shared" si="0"/>
        <v>51.2</v>
      </c>
    </row>
    <row r="23" spans="1:2" x14ac:dyDescent="0.2">
      <c r="A23" s="28">
        <v>0.3</v>
      </c>
      <c r="B23" s="25">
        <f t="shared" si="0"/>
        <v>45.516613563950834</v>
      </c>
    </row>
    <row r="24" spans="1:2" x14ac:dyDescent="0.2">
      <c r="A24" s="28">
        <v>0.35</v>
      </c>
      <c r="B24" s="25">
        <f t="shared" si="0"/>
        <v>40.64421074023268</v>
      </c>
    </row>
    <row r="25" spans="1:2" x14ac:dyDescent="0.2">
      <c r="A25" s="28">
        <v>0.4</v>
      </c>
      <c r="B25" s="25">
        <f t="shared" si="0"/>
        <v>36.443148688046655</v>
      </c>
    </row>
    <row r="26" spans="1:2" x14ac:dyDescent="0.2">
      <c r="A26" s="28">
        <v>0.45</v>
      </c>
      <c r="B26" s="25">
        <f t="shared" si="0"/>
        <v>32.801672885317153</v>
      </c>
    </row>
    <row r="27" spans="1:2" x14ac:dyDescent="0.2">
      <c r="A27" s="28">
        <v>0.5</v>
      </c>
      <c r="B27" s="25">
        <f t="shared" si="0"/>
        <v>29.62962962962963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6"/>
  <sheetViews>
    <sheetView workbookViewId="0">
      <selection activeCell="C7" sqref="C7"/>
    </sheetView>
  </sheetViews>
  <sheetFormatPr defaultRowHeight="12.75" x14ac:dyDescent="0.2"/>
  <cols>
    <col min="1" max="1" width="31.7109375" customWidth="1"/>
    <col min="4" max="4" width="17.85546875" bestFit="1" customWidth="1"/>
  </cols>
  <sheetData>
    <row r="1" spans="1:4" ht="35.65" customHeight="1" x14ac:dyDescent="0.2">
      <c r="A1" s="61" t="s">
        <v>30</v>
      </c>
      <c r="B1" s="61"/>
      <c r="C1" s="61"/>
      <c r="D1" s="61"/>
    </row>
    <row r="2" spans="1:4" x14ac:dyDescent="0.2">
      <c r="A2" s="24" t="s">
        <v>31</v>
      </c>
      <c r="B2">
        <v>100</v>
      </c>
    </row>
    <row r="3" spans="1:4" x14ac:dyDescent="0.2">
      <c r="A3" s="24" t="s">
        <v>26</v>
      </c>
      <c r="B3" s="14">
        <v>0.06</v>
      </c>
    </row>
    <row r="4" spans="1:4" x14ac:dyDescent="0.2">
      <c r="A4" t="s">
        <v>40</v>
      </c>
    </row>
    <row r="5" spans="1:4" s="15" customFormat="1" ht="38.25" x14ac:dyDescent="0.2">
      <c r="A5" s="15" t="s">
        <v>3</v>
      </c>
      <c r="B5" s="15" t="s">
        <v>32</v>
      </c>
      <c r="C5" s="15" t="s">
        <v>33</v>
      </c>
    </row>
    <row r="6" spans="1:4" x14ac:dyDescent="0.2">
      <c r="A6" s="23">
        <v>1</v>
      </c>
      <c r="B6">
        <f>$B$2</f>
        <v>100</v>
      </c>
      <c r="C6" s="25">
        <f>B6/(1+$B$3)^A6</f>
        <v>94.339622641509436</v>
      </c>
      <c r="D6" t="str">
        <f ca="1">getformula(C6)</f>
        <v>&lt;-- =B6/(1+$B$3)^A6</v>
      </c>
    </row>
    <row r="7" spans="1:4" x14ac:dyDescent="0.2">
      <c r="A7" s="23">
        <v>2</v>
      </c>
      <c r="B7">
        <f t="shared" ref="B7:B10" si="0">$B$2</f>
        <v>100</v>
      </c>
      <c r="C7" s="25">
        <f t="shared" ref="C7:C10" si="1">B7/(1+$B$3)^A7</f>
        <v>88.999644001423988</v>
      </c>
      <c r="D7" t="str">
        <f ca="1">getformula(C7)</f>
        <v>&lt;-- =B7/(1+$B$3)^A7</v>
      </c>
    </row>
    <row r="8" spans="1:4" x14ac:dyDescent="0.2">
      <c r="A8" s="23">
        <v>3</v>
      </c>
      <c r="B8">
        <f t="shared" si="0"/>
        <v>100</v>
      </c>
      <c r="C8" s="25">
        <f t="shared" si="1"/>
        <v>83.961928303230167</v>
      </c>
    </row>
    <row r="9" spans="1:4" x14ac:dyDescent="0.2">
      <c r="A9" s="23">
        <v>4</v>
      </c>
      <c r="B9">
        <f t="shared" si="0"/>
        <v>100</v>
      </c>
      <c r="C9" s="25">
        <f t="shared" si="1"/>
        <v>79.209366323802044</v>
      </c>
    </row>
    <row r="10" spans="1:4" x14ac:dyDescent="0.2">
      <c r="A10" s="23">
        <v>5</v>
      </c>
      <c r="B10">
        <f t="shared" si="0"/>
        <v>100</v>
      </c>
      <c r="C10" s="25">
        <f t="shared" si="1"/>
        <v>74.72581728660569</v>
      </c>
    </row>
    <row r="11" spans="1:4" x14ac:dyDescent="0.2">
      <c r="A11" s="23"/>
    </row>
    <row r="13" spans="1:4" x14ac:dyDescent="0.2">
      <c r="A13" s="63" t="s">
        <v>34</v>
      </c>
      <c r="B13" s="63"/>
    </row>
    <row r="14" spans="1:4" x14ac:dyDescent="0.2">
      <c r="A14" s="62" t="s">
        <v>35</v>
      </c>
      <c r="B14" s="62"/>
      <c r="C14" s="25">
        <f>SUM(C6:C10)</f>
        <v>421.23637855657137</v>
      </c>
      <c r="D14" t="str">
        <f ca="1">getformula(C14)</f>
        <v>&lt;-- =SUM(C6:C10)</v>
      </c>
    </row>
    <row r="15" spans="1:4" x14ac:dyDescent="0.2">
      <c r="A15" s="62" t="s">
        <v>36</v>
      </c>
      <c r="B15" s="62"/>
      <c r="C15" s="25">
        <f>PV(B3,5,-B2)</f>
        <v>421.23637855657182</v>
      </c>
      <c r="D15" t="str">
        <f t="shared" ref="D15:D16" ca="1" si="2">getformula(C15)</f>
        <v>&lt;-- =PV(B3,5,-B2)</v>
      </c>
    </row>
    <row r="16" spans="1:4" x14ac:dyDescent="0.2">
      <c r="A16" s="62" t="s">
        <v>37</v>
      </c>
      <c r="B16" s="62"/>
      <c r="C16" s="25">
        <f>NPV(B3,B6:B10)</f>
        <v>421.23637855657137</v>
      </c>
      <c r="D16" t="str">
        <f t="shared" ca="1" si="2"/>
        <v>&lt;-- =NPV(B3,B6:B10)</v>
      </c>
    </row>
  </sheetData>
  <mergeCells count="5">
    <mergeCell ref="A1:D1"/>
    <mergeCell ref="A14:B14"/>
    <mergeCell ref="A15:B15"/>
    <mergeCell ref="A16:B16"/>
    <mergeCell ref="A13:B13"/>
  </mergeCells>
  <printOptions headings="1" gridLines="1"/>
  <pageMargins left="0.7" right="0.7" top="0.75" bottom="0.75" header="0.3" footer="0.3"/>
  <pageSetup orientation="portrait" verticalDpi="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4"/>
  <sheetViews>
    <sheetView workbookViewId="0">
      <selection activeCell="E6" sqref="E6"/>
    </sheetView>
  </sheetViews>
  <sheetFormatPr defaultRowHeight="12.75" x14ac:dyDescent="0.2"/>
  <cols>
    <col min="1" max="1" width="23.28515625" bestFit="1" customWidth="1"/>
    <col min="3" max="3" width="9.42578125" bestFit="1" customWidth="1"/>
  </cols>
  <sheetData>
    <row r="1" spans="1:3" x14ac:dyDescent="0.2">
      <c r="A1" s="57" t="s">
        <v>60</v>
      </c>
      <c r="B1" s="57"/>
      <c r="C1" s="57"/>
    </row>
    <row r="2" spans="1:3" x14ac:dyDescent="0.2">
      <c r="A2" t="s">
        <v>61</v>
      </c>
      <c r="B2">
        <v>100</v>
      </c>
    </row>
    <row r="3" spans="1:3" x14ac:dyDescent="0.2">
      <c r="A3" t="s">
        <v>62</v>
      </c>
      <c r="B3" s="14">
        <v>0.05</v>
      </c>
    </row>
    <row r="4" spans="1:3" x14ac:dyDescent="0.2">
      <c r="A4" t="s">
        <v>63</v>
      </c>
      <c r="B4" s="45">
        <f>B2/B3</f>
        <v>2000</v>
      </c>
      <c r="C4" t="str">
        <f ca="1">getformula(B4)</f>
        <v>&lt;-- =B2/B3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13"/>
  <sheetViews>
    <sheetView workbookViewId="0">
      <selection activeCell="F12" sqref="F12"/>
    </sheetView>
  </sheetViews>
  <sheetFormatPr defaultRowHeight="12.75" x14ac:dyDescent="0.2"/>
  <cols>
    <col min="1" max="1" width="34.28515625" customWidth="1"/>
    <col min="3" max="3" width="9.42578125" bestFit="1" customWidth="1"/>
    <col min="4" max="4" width="17.85546875" bestFit="1" customWidth="1"/>
  </cols>
  <sheetData>
    <row r="1" spans="1:4" ht="18" x14ac:dyDescent="0.25">
      <c r="A1" s="60" t="s">
        <v>38</v>
      </c>
      <c r="B1" s="60"/>
      <c r="C1" s="60"/>
      <c r="D1" s="60"/>
    </row>
    <row r="2" spans="1:4" x14ac:dyDescent="0.2">
      <c r="A2" s="24" t="s">
        <v>39</v>
      </c>
      <c r="B2" s="14">
        <v>0.06</v>
      </c>
    </row>
    <row r="4" spans="1:4" s="15" customFormat="1" ht="38.25" x14ac:dyDescent="0.2">
      <c r="A4" s="15" t="s">
        <v>3</v>
      </c>
      <c r="B4" s="15" t="s">
        <v>32</v>
      </c>
      <c r="C4" s="15" t="s">
        <v>29</v>
      </c>
    </row>
    <row r="5" spans="1:4" x14ac:dyDescent="0.2">
      <c r="A5" s="23">
        <v>1</v>
      </c>
      <c r="B5">
        <v>100</v>
      </c>
      <c r="C5" s="25">
        <f>B5/(1+$B$2)^A5</f>
        <v>94.339622641509436</v>
      </c>
      <c r="D5" t="str">
        <f ca="1">getformula(C5)</f>
        <v>&lt;-- =B5/(1+$B$2)^A5</v>
      </c>
    </row>
    <row r="6" spans="1:4" x14ac:dyDescent="0.2">
      <c r="A6" s="23">
        <v>2</v>
      </c>
      <c r="B6">
        <v>200</v>
      </c>
      <c r="C6" s="25">
        <f t="shared" ref="C6:C9" si="0">B6/(1+$B$2)^A6</f>
        <v>177.99928800284798</v>
      </c>
      <c r="D6" t="str">
        <f ca="1">getformula(C6)</f>
        <v>&lt;-- =B6/(1+$B$2)^A6</v>
      </c>
    </row>
    <row r="7" spans="1:4" x14ac:dyDescent="0.2">
      <c r="A7" s="23">
        <v>3</v>
      </c>
      <c r="B7">
        <v>300</v>
      </c>
      <c r="C7" s="25">
        <f t="shared" si="0"/>
        <v>251.8857849096905</v>
      </c>
    </row>
    <row r="8" spans="1:4" x14ac:dyDescent="0.2">
      <c r="A8" s="23">
        <v>4</v>
      </c>
      <c r="B8">
        <v>400</v>
      </c>
      <c r="C8" s="25">
        <f t="shared" si="0"/>
        <v>316.83746529520818</v>
      </c>
    </row>
    <row r="9" spans="1:4" x14ac:dyDescent="0.2">
      <c r="A9" s="23">
        <v>5</v>
      </c>
      <c r="B9">
        <v>500</v>
      </c>
      <c r="C9" s="25">
        <f t="shared" si="0"/>
        <v>373.62908643302842</v>
      </c>
    </row>
    <row r="11" spans="1:4" x14ac:dyDescent="0.2">
      <c r="A11" s="63" t="s">
        <v>34</v>
      </c>
      <c r="B11" s="63"/>
    </row>
    <row r="12" spans="1:4" x14ac:dyDescent="0.2">
      <c r="A12" s="62" t="s">
        <v>35</v>
      </c>
      <c r="B12" s="64"/>
      <c r="C12" s="25">
        <f>SUM(C5:C9)</f>
        <v>1214.6912472822846</v>
      </c>
      <c r="D12" t="str">
        <f ca="1">getformula(C12)</f>
        <v>&lt;-- =SUM(C5:C9)</v>
      </c>
    </row>
    <row r="13" spans="1:4" x14ac:dyDescent="0.2">
      <c r="A13" s="62" t="s">
        <v>37</v>
      </c>
      <c r="B13" s="64"/>
      <c r="C13" s="25">
        <f>NPV(B2,B5:B9)</f>
        <v>1214.6912472822846</v>
      </c>
      <c r="D13" t="str">
        <f ca="1">getformula(C13)</f>
        <v>&lt;-- =NPV(B2,B5:B9)</v>
      </c>
    </row>
  </sheetData>
  <mergeCells count="4">
    <mergeCell ref="A1:D1"/>
    <mergeCell ref="A11:B11"/>
    <mergeCell ref="A12:B12"/>
    <mergeCell ref="A13:B13"/>
  </mergeCells>
  <printOptions headings="1" gridLines="1"/>
  <pageMargins left="0.7" right="0.7" top="0.75" bottom="0.75" header="0.3" footer="0.3"/>
  <pageSetup orientation="portrait" verticalDpi="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9"/>
  <sheetViews>
    <sheetView workbookViewId="0">
      <selection activeCell="B10" sqref="B10"/>
    </sheetView>
  </sheetViews>
  <sheetFormatPr defaultColWidth="9.140625" defaultRowHeight="15" x14ac:dyDescent="0.25"/>
  <cols>
    <col min="1" max="1" width="12" style="1" bestFit="1" customWidth="1"/>
    <col min="2" max="2" width="15.7109375" style="1" customWidth="1"/>
    <col min="3" max="3" width="11.42578125" style="1" bestFit="1" customWidth="1"/>
    <col min="4" max="4" width="18" style="1" customWidth="1"/>
    <col min="5" max="5" width="16" style="1" customWidth="1"/>
    <col min="6" max="16384" width="9.140625" style="1"/>
  </cols>
  <sheetData>
    <row r="1" spans="1:5" ht="18.75" x14ac:dyDescent="0.3">
      <c r="A1" s="65" t="s">
        <v>6</v>
      </c>
      <c r="B1" s="65"/>
      <c r="C1" s="65"/>
      <c r="D1" s="65"/>
      <c r="E1" s="65"/>
    </row>
    <row r="2" spans="1:5" x14ac:dyDescent="0.25">
      <c r="A2" s="1" t="s">
        <v>5</v>
      </c>
      <c r="B2" s="4">
        <v>8903.133903133903</v>
      </c>
    </row>
    <row r="3" spans="1:5" x14ac:dyDescent="0.25">
      <c r="A3" s="1" t="s">
        <v>4</v>
      </c>
      <c r="B3" s="7">
        <v>0.08</v>
      </c>
    </row>
    <row r="4" spans="1:5" ht="30" x14ac:dyDescent="0.25">
      <c r="A4" s="6" t="s">
        <v>40</v>
      </c>
      <c r="B4" s="6" t="s">
        <v>2</v>
      </c>
      <c r="C4" s="6" t="s">
        <v>7</v>
      </c>
      <c r="D4" s="6" t="s">
        <v>1</v>
      </c>
      <c r="E4" s="6" t="s">
        <v>0</v>
      </c>
    </row>
    <row r="5" spans="1:5" x14ac:dyDescent="0.25">
      <c r="A5" s="9">
        <v>0</v>
      </c>
      <c r="B5" s="4">
        <v>0</v>
      </c>
      <c r="C5" s="4">
        <f>$B$2</f>
        <v>8903.133903133903</v>
      </c>
      <c r="D5" s="4">
        <f>C5</f>
        <v>8903.133903133903</v>
      </c>
      <c r="E5" s="4">
        <f>D5*(1+$B$3)</f>
        <v>9615.3846153846152</v>
      </c>
    </row>
    <row r="6" spans="1:5" x14ac:dyDescent="0.25">
      <c r="A6" s="9">
        <v>1</v>
      </c>
      <c r="B6" s="5">
        <f>E5</f>
        <v>9615.3846153846152</v>
      </c>
      <c r="C6" s="4">
        <f>$B$2</f>
        <v>8903.133903133903</v>
      </c>
      <c r="D6" s="4">
        <f>C6+E5</f>
        <v>18518.518518518518</v>
      </c>
      <c r="E6" s="4">
        <f>D6*(1+$B$3)</f>
        <v>20000</v>
      </c>
    </row>
    <row r="7" spans="1:5" x14ac:dyDescent="0.25">
      <c r="A7" s="9">
        <v>2</v>
      </c>
      <c r="B7" s="5">
        <f>E6</f>
        <v>20000</v>
      </c>
      <c r="C7" s="4">
        <v>-20000</v>
      </c>
      <c r="D7" s="4">
        <f>C7+E6</f>
        <v>0</v>
      </c>
      <c r="E7" s="4">
        <f>D7*(1+$B$3)</f>
        <v>0</v>
      </c>
    </row>
    <row r="9" spans="1:5" ht="45" x14ac:dyDescent="0.25">
      <c r="B9" s="3" t="s">
        <v>64</v>
      </c>
      <c r="C9" s="2">
        <f>C5*(1+$B$3)^2+C6*(1+B3)^1+C7</f>
        <v>0</v>
      </c>
      <c r="D9" s="1" t="str">
        <f ca="1">getformula(C9)</f>
        <v>&lt;-- =C5*(1+$B$3)^2+C6*(1+B3)^1+C7</v>
      </c>
    </row>
  </sheetData>
  <mergeCells count="1">
    <mergeCell ref="A1:E1"/>
  </mergeCells>
  <printOptions headings="1" gridLines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9"/>
  <sheetViews>
    <sheetView workbookViewId="0">
      <selection activeCell="E11" sqref="E11"/>
    </sheetView>
  </sheetViews>
  <sheetFormatPr defaultColWidth="9.140625" defaultRowHeight="15" x14ac:dyDescent="0.25"/>
  <cols>
    <col min="1" max="1" width="12" style="1" bestFit="1" customWidth="1"/>
    <col min="2" max="2" width="16.28515625" style="1" customWidth="1"/>
    <col min="3" max="3" width="13.42578125" style="1" customWidth="1"/>
    <col min="4" max="4" width="17.7109375" style="1" customWidth="1"/>
    <col min="5" max="5" width="16.140625" style="1" customWidth="1"/>
    <col min="6" max="16384" width="9.140625" style="1"/>
  </cols>
  <sheetData>
    <row r="1" spans="1:5" ht="15.75" x14ac:dyDescent="0.25">
      <c r="A1" s="66" t="s">
        <v>6</v>
      </c>
      <c r="B1" s="66"/>
      <c r="C1" s="66"/>
      <c r="D1" s="66"/>
      <c r="E1" s="66"/>
    </row>
    <row r="2" spans="1:5" x14ac:dyDescent="0.25">
      <c r="A2" s="1" t="s">
        <v>5</v>
      </c>
      <c r="B2" s="4">
        <v>5000</v>
      </c>
    </row>
    <row r="3" spans="1:5" x14ac:dyDescent="0.25">
      <c r="A3" s="1" t="s">
        <v>4</v>
      </c>
      <c r="B3" s="7">
        <v>0.08</v>
      </c>
    </row>
    <row r="4" spans="1:5" ht="30" x14ac:dyDescent="0.25">
      <c r="A4" s="6" t="s">
        <v>40</v>
      </c>
      <c r="B4" s="6" t="s">
        <v>2</v>
      </c>
      <c r="C4" s="6" t="s">
        <v>7</v>
      </c>
      <c r="D4" s="6" t="s">
        <v>1</v>
      </c>
      <c r="E4" s="6" t="s">
        <v>0</v>
      </c>
    </row>
    <row r="5" spans="1:5" x14ac:dyDescent="0.25">
      <c r="A5" s="9">
        <v>0</v>
      </c>
      <c r="B5" s="4">
        <v>0</v>
      </c>
      <c r="C5" s="4">
        <f>$B$2</f>
        <v>5000</v>
      </c>
      <c r="D5" s="4">
        <f>C5</f>
        <v>5000</v>
      </c>
      <c r="E5" s="4">
        <f>D5*(1+$B$3)</f>
        <v>5400</v>
      </c>
    </row>
    <row r="6" spans="1:5" x14ac:dyDescent="0.25">
      <c r="A6" s="9">
        <v>1</v>
      </c>
      <c r="B6" s="5">
        <f>E5</f>
        <v>5400</v>
      </c>
      <c r="C6" s="4">
        <f>$B$2</f>
        <v>5000</v>
      </c>
      <c r="D6" s="4">
        <f>C6+E5</f>
        <v>10400</v>
      </c>
      <c r="E6" s="4">
        <f>D6*(1+$B$3)</f>
        <v>11232</v>
      </c>
    </row>
    <row r="7" spans="1:5" x14ac:dyDescent="0.25">
      <c r="A7" s="9">
        <v>2</v>
      </c>
      <c r="B7" s="5">
        <f>E6</f>
        <v>11232</v>
      </c>
      <c r="C7" s="4">
        <v>-20000</v>
      </c>
      <c r="D7" s="4">
        <f>C7+E6</f>
        <v>-8768</v>
      </c>
      <c r="E7" s="4">
        <f>D7*(1+$B$3)</f>
        <v>-9469.44</v>
      </c>
    </row>
    <row r="9" spans="1:5" ht="30" x14ac:dyDescent="0.25">
      <c r="B9" s="3" t="s">
        <v>64</v>
      </c>
      <c r="C9" s="2">
        <f>C5*(1+$B$3)^2+C6*(1+B3)^1+C7</f>
        <v>-8768</v>
      </c>
      <c r="D9" s="1" t="str">
        <f ca="1">getformula(C9)</f>
        <v>&lt;-- =C5*(1+$B$3)^2+C6*(1+B3)^1+C7</v>
      </c>
    </row>
  </sheetData>
  <mergeCells count="1">
    <mergeCell ref="A1:E1"/>
  </mergeCells>
  <printOptions headings="1" gridLines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10"/>
  <sheetViews>
    <sheetView workbookViewId="0">
      <selection sqref="A1:D1"/>
    </sheetView>
  </sheetViews>
  <sheetFormatPr defaultColWidth="9.140625" defaultRowHeight="15" x14ac:dyDescent="0.25"/>
  <cols>
    <col min="1" max="1" width="22.85546875" style="1" bestFit="1" customWidth="1"/>
    <col min="2" max="2" width="10.42578125" style="1" bestFit="1" customWidth="1"/>
    <col min="3" max="3" width="43.5703125" style="1" bestFit="1" customWidth="1"/>
    <col min="4" max="4" width="18.42578125" style="1" customWidth="1"/>
    <col min="5" max="5" width="14.140625" style="1" customWidth="1"/>
    <col min="6" max="16384" width="9.140625" style="1"/>
  </cols>
  <sheetData>
    <row r="1" spans="1:3" ht="15.75" x14ac:dyDescent="0.25">
      <c r="A1" s="8" t="s">
        <v>6</v>
      </c>
      <c r="B1" s="8"/>
      <c r="C1" s="8"/>
    </row>
    <row r="2" spans="1:3" ht="15.75" x14ac:dyDescent="0.25">
      <c r="A2" s="8" t="s">
        <v>8</v>
      </c>
      <c r="B2" s="8"/>
      <c r="C2" s="8"/>
    </row>
    <row r="3" spans="1:3" x14ac:dyDescent="0.25">
      <c r="A3" s="1" t="s">
        <v>9</v>
      </c>
      <c r="B3" s="4">
        <v>20000</v>
      </c>
      <c r="C3" s="10" t="s">
        <v>11</v>
      </c>
    </row>
    <row r="4" spans="1:3" x14ac:dyDescent="0.25">
      <c r="A4" s="1" t="s">
        <v>41</v>
      </c>
      <c r="B4" s="2">
        <v>2</v>
      </c>
      <c r="C4" s="10" t="s">
        <v>10</v>
      </c>
    </row>
    <row r="5" spans="1:3" x14ac:dyDescent="0.25">
      <c r="A5" s="1" t="s">
        <v>4</v>
      </c>
      <c r="B5" s="11">
        <v>0.08</v>
      </c>
      <c r="C5" s="10"/>
    </row>
    <row r="6" spans="1:3" x14ac:dyDescent="0.25">
      <c r="A6" s="12" t="s">
        <v>5</v>
      </c>
      <c r="B6" s="13">
        <f>PMT(B5,B4,,B3,1)</f>
        <v>-8903.133903133903</v>
      </c>
      <c r="C6" s="10" t="str">
        <f ca="1">getformula(B6)</f>
        <v>&lt;-- =PMT(B5,B4,,B3,1)</v>
      </c>
    </row>
    <row r="7" spans="1:3" x14ac:dyDescent="0.25">
      <c r="B7" s="2"/>
      <c r="C7" s="10"/>
    </row>
    <row r="8" spans="1:3" x14ac:dyDescent="0.25">
      <c r="A8" s="9"/>
      <c r="B8" s="5"/>
      <c r="C8" s="4"/>
    </row>
    <row r="10" spans="1:3" x14ac:dyDescent="0.25">
      <c r="B10" s="3"/>
      <c r="C10" s="2"/>
    </row>
  </sheetData>
  <printOptions headings="1" gridLines="1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F20"/>
  <sheetViews>
    <sheetView zoomScale="115" zoomScaleNormal="115" workbookViewId="0">
      <selection activeCell="F6" sqref="F6"/>
    </sheetView>
  </sheetViews>
  <sheetFormatPr defaultRowHeight="12.75" x14ac:dyDescent="0.2"/>
  <cols>
    <col min="1" max="1" width="19.5703125" bestFit="1" customWidth="1"/>
    <col min="2" max="2" width="19.42578125" bestFit="1" customWidth="1"/>
    <col min="3" max="3" width="17.42578125" bestFit="1" customWidth="1"/>
    <col min="4" max="5" width="12.42578125" customWidth="1"/>
    <col min="6" max="6" width="16.5703125" bestFit="1" customWidth="1"/>
  </cols>
  <sheetData>
    <row r="1" spans="1:6" s="17" customFormat="1" ht="19.5" x14ac:dyDescent="0.3">
      <c r="A1" s="16" t="s">
        <v>18</v>
      </c>
      <c r="B1" s="16"/>
      <c r="C1" s="16"/>
      <c r="D1" s="16"/>
      <c r="E1" s="16"/>
      <c r="F1" s="16"/>
    </row>
    <row r="2" spans="1:6" x14ac:dyDescent="0.2">
      <c r="A2" t="s">
        <v>4</v>
      </c>
      <c r="B2" s="14">
        <v>0.08</v>
      </c>
    </row>
    <row r="3" spans="1:6" x14ac:dyDescent="0.2">
      <c r="A3" t="s">
        <v>12</v>
      </c>
      <c r="B3" s="18">
        <v>4000</v>
      </c>
      <c r="C3" s="18"/>
      <c r="D3" s="18"/>
      <c r="E3" s="18"/>
    </row>
    <row r="4" spans="1:6" x14ac:dyDescent="0.2">
      <c r="A4" t="s">
        <v>40</v>
      </c>
      <c r="B4" s="18">
        <v>20000</v>
      </c>
      <c r="C4" s="18"/>
      <c r="D4" s="18"/>
      <c r="E4" s="18"/>
    </row>
    <row r="5" spans="1:6" x14ac:dyDescent="0.2">
      <c r="B5" s="18"/>
      <c r="C5" s="18"/>
      <c r="D5" s="18"/>
      <c r="E5" s="18"/>
    </row>
    <row r="6" spans="1:6" s="15" customFormat="1" ht="38.25" x14ac:dyDescent="0.2">
      <c r="A6" s="15" t="s">
        <v>13</v>
      </c>
      <c r="B6" s="19" t="s">
        <v>14</v>
      </c>
      <c r="C6" s="19" t="s">
        <v>15</v>
      </c>
      <c r="D6" s="19" t="s">
        <v>1</v>
      </c>
      <c r="E6" s="19" t="s">
        <v>16</v>
      </c>
    </row>
    <row r="7" spans="1:6" x14ac:dyDescent="0.2">
      <c r="A7" s="23">
        <v>10</v>
      </c>
      <c r="B7" s="18">
        <v>0</v>
      </c>
      <c r="C7" s="18">
        <f t="shared" ref="C7:C14" si="0">$B$3</f>
        <v>4000</v>
      </c>
      <c r="D7" s="18">
        <f>SUM(B7:C7)</f>
        <v>4000</v>
      </c>
      <c r="E7" s="18">
        <f t="shared" ref="E7:E18" si="1">D7*(1+$B$2)</f>
        <v>4320</v>
      </c>
      <c r="F7" t="str">
        <f ca="1">getformula(E7)</f>
        <v>&lt;-- =D7*(1+$B$2)</v>
      </c>
    </row>
    <row r="8" spans="1:6" x14ac:dyDescent="0.2">
      <c r="A8" s="23">
        <f>A7+1</f>
        <v>11</v>
      </c>
      <c r="B8" s="18">
        <f>E7</f>
        <v>4320</v>
      </c>
      <c r="C8" s="18">
        <f t="shared" si="0"/>
        <v>4000</v>
      </c>
      <c r="D8" s="18">
        <f>SUM(B8:C8)</f>
        <v>8320</v>
      </c>
      <c r="E8" s="18">
        <f t="shared" si="1"/>
        <v>8985.6</v>
      </c>
      <c r="F8" t="str">
        <f ca="1">getformula(E8)</f>
        <v>&lt;-- =D8*(1+$B$2)</v>
      </c>
    </row>
    <row r="9" spans="1:6" x14ac:dyDescent="0.2">
      <c r="A9" s="23">
        <f t="shared" ref="A9:A18" si="2">A8+1</f>
        <v>12</v>
      </c>
      <c r="B9" s="18">
        <f t="shared" ref="B9:B18" si="3">E8</f>
        <v>8985.6</v>
      </c>
      <c r="C9" s="18">
        <f t="shared" si="0"/>
        <v>4000</v>
      </c>
      <c r="D9" s="18">
        <f t="shared" ref="D9:D14" si="4">SUM(B9:C9)</f>
        <v>12985.6</v>
      </c>
      <c r="E9" s="18">
        <f t="shared" si="1"/>
        <v>14024.448000000002</v>
      </c>
      <c r="F9" t="str">
        <f t="shared" ref="E9:F20" ca="1" si="5">getformula(E9)</f>
        <v>&lt;-- =D9*(1+$B$2)</v>
      </c>
    </row>
    <row r="10" spans="1:6" x14ac:dyDescent="0.2">
      <c r="A10" s="23">
        <f t="shared" si="2"/>
        <v>13</v>
      </c>
      <c r="B10" s="18">
        <f t="shared" si="3"/>
        <v>14024.448000000002</v>
      </c>
      <c r="C10" s="18">
        <f t="shared" si="0"/>
        <v>4000</v>
      </c>
      <c r="D10" s="18">
        <f t="shared" si="4"/>
        <v>18024.448000000004</v>
      </c>
      <c r="E10" s="18">
        <f t="shared" si="1"/>
        <v>19466.403840000006</v>
      </c>
      <c r="F10" t="str">
        <f t="shared" ca="1" si="5"/>
        <v>&lt;-- =D10*(1+$B$2)</v>
      </c>
    </row>
    <row r="11" spans="1:6" x14ac:dyDescent="0.2">
      <c r="A11" s="23">
        <f t="shared" si="2"/>
        <v>14</v>
      </c>
      <c r="B11" s="18">
        <f t="shared" si="3"/>
        <v>19466.403840000006</v>
      </c>
      <c r="C11" s="18">
        <f t="shared" si="0"/>
        <v>4000</v>
      </c>
      <c r="D11" s="18">
        <f t="shared" si="4"/>
        <v>23466.403840000006</v>
      </c>
      <c r="E11" s="18">
        <f t="shared" si="1"/>
        <v>25343.716147200008</v>
      </c>
      <c r="F11" t="str">
        <f t="shared" ca="1" si="5"/>
        <v>&lt;-- =D11*(1+$B$2)</v>
      </c>
    </row>
    <row r="12" spans="1:6" x14ac:dyDescent="0.2">
      <c r="A12" s="23">
        <f t="shared" si="2"/>
        <v>15</v>
      </c>
      <c r="B12" s="18">
        <f t="shared" si="3"/>
        <v>25343.716147200008</v>
      </c>
      <c r="C12" s="18">
        <f t="shared" si="0"/>
        <v>4000</v>
      </c>
      <c r="D12" s="18">
        <f t="shared" si="4"/>
        <v>29343.716147200008</v>
      </c>
      <c r="E12" s="18">
        <f t="shared" si="1"/>
        <v>31691.21343897601</v>
      </c>
      <c r="F12" t="str">
        <f t="shared" ca="1" si="5"/>
        <v>&lt;-- =D12*(1+$B$2)</v>
      </c>
    </row>
    <row r="13" spans="1:6" x14ac:dyDescent="0.2">
      <c r="A13" s="23">
        <f t="shared" si="2"/>
        <v>16</v>
      </c>
      <c r="B13" s="18">
        <f t="shared" si="3"/>
        <v>31691.21343897601</v>
      </c>
      <c r="C13" s="18">
        <f t="shared" si="0"/>
        <v>4000</v>
      </c>
      <c r="D13" s="18">
        <f t="shared" si="4"/>
        <v>35691.21343897601</v>
      </c>
      <c r="E13" s="18">
        <f t="shared" si="1"/>
        <v>38546.510514094094</v>
      </c>
      <c r="F13" t="str">
        <f t="shared" ca="1" si="5"/>
        <v>&lt;-- =D13*(1+$B$2)</v>
      </c>
    </row>
    <row r="14" spans="1:6" x14ac:dyDescent="0.2">
      <c r="A14" s="23">
        <f t="shared" si="2"/>
        <v>17</v>
      </c>
      <c r="B14" s="18">
        <f t="shared" si="3"/>
        <v>38546.510514094094</v>
      </c>
      <c r="C14" s="18">
        <f t="shared" si="0"/>
        <v>4000</v>
      </c>
      <c r="D14" s="18">
        <f t="shared" si="4"/>
        <v>42546.510514094094</v>
      </c>
      <c r="E14" s="18">
        <f t="shared" si="1"/>
        <v>45950.231355221622</v>
      </c>
      <c r="F14" t="str">
        <f t="shared" ca="1" si="5"/>
        <v>&lt;-- =D14*(1+$B$2)</v>
      </c>
    </row>
    <row r="15" spans="1:6" x14ac:dyDescent="0.2">
      <c r="A15" s="23">
        <f t="shared" si="2"/>
        <v>18</v>
      </c>
      <c r="B15" s="18">
        <f t="shared" si="3"/>
        <v>45950.231355221622</v>
      </c>
      <c r="C15" s="18">
        <f>-$B$4</f>
        <v>-20000</v>
      </c>
      <c r="D15" s="18">
        <f t="shared" ref="D15:D18" si="6">SUM(B15:C15)</f>
        <v>25950.231355221622</v>
      </c>
      <c r="E15" s="18">
        <f t="shared" si="1"/>
        <v>28026.249863639354</v>
      </c>
      <c r="F15" t="str">
        <f t="shared" ca="1" si="5"/>
        <v>&lt;-- =D15*(1+$B$2)</v>
      </c>
    </row>
    <row r="16" spans="1:6" x14ac:dyDescent="0.2">
      <c r="A16" s="23">
        <f t="shared" si="2"/>
        <v>19</v>
      </c>
      <c r="B16" s="18">
        <f t="shared" si="3"/>
        <v>28026.249863639354</v>
      </c>
      <c r="C16" s="18">
        <f>-$B$4</f>
        <v>-20000</v>
      </c>
      <c r="D16" s="18">
        <f t="shared" si="6"/>
        <v>8026.2498636393539</v>
      </c>
      <c r="E16" s="20">
        <f t="shared" si="1"/>
        <v>8668.3498527305019</v>
      </c>
      <c r="F16" t="str">
        <f t="shared" ca="1" si="5"/>
        <v>&lt;-- =D16*(1+$B$2)</v>
      </c>
    </row>
    <row r="17" spans="1:6" x14ac:dyDescent="0.2">
      <c r="A17" s="23">
        <f t="shared" si="2"/>
        <v>20</v>
      </c>
      <c r="B17" s="18">
        <f t="shared" si="3"/>
        <v>8668.3498527305019</v>
      </c>
      <c r="C17" s="18">
        <f>-$B$4</f>
        <v>-20000</v>
      </c>
      <c r="D17" s="18">
        <f t="shared" si="6"/>
        <v>-11331.650147269498</v>
      </c>
      <c r="E17" s="20">
        <f t="shared" si="1"/>
        <v>-12238.182159051059</v>
      </c>
      <c r="F17" t="str">
        <f t="shared" ca="1" si="5"/>
        <v>&lt;-- =D17*(1+$B$2)</v>
      </c>
    </row>
    <row r="18" spans="1:6" x14ac:dyDescent="0.2">
      <c r="A18" s="23">
        <f t="shared" si="2"/>
        <v>21</v>
      </c>
      <c r="B18" s="18">
        <f t="shared" si="3"/>
        <v>-12238.182159051059</v>
      </c>
      <c r="C18" s="18">
        <f>-$B$4</f>
        <v>-20000</v>
      </c>
      <c r="D18" s="18">
        <f t="shared" si="6"/>
        <v>-32238.182159051059</v>
      </c>
      <c r="E18" s="20">
        <f t="shared" si="1"/>
        <v>-34817.236731775149</v>
      </c>
      <c r="F18" t="str">
        <f t="shared" ca="1" si="5"/>
        <v>&lt;-- =D18*(1+$B$2)</v>
      </c>
    </row>
    <row r="20" spans="1:6" x14ac:dyDescent="0.2">
      <c r="C20" s="21" t="s">
        <v>17</v>
      </c>
      <c r="D20" s="22">
        <f>NPV(B2,C8:C18)+C7</f>
        <v>-13826.403744222494</v>
      </c>
      <c r="E20" t="str">
        <f t="shared" ca="1" si="5"/>
        <v>&lt;-- =NPV(B2,C8:C18)+C7</v>
      </c>
    </row>
  </sheetData>
  <printOptions headings="1" gridLines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F20"/>
  <sheetViews>
    <sheetView zoomScale="115" zoomScaleNormal="115" workbookViewId="0">
      <selection activeCell="E11" sqref="E11"/>
    </sheetView>
  </sheetViews>
  <sheetFormatPr defaultRowHeight="12.75" x14ac:dyDescent="0.2"/>
  <cols>
    <col min="1" max="1" width="19.5703125" bestFit="1" customWidth="1"/>
    <col min="2" max="2" width="19.42578125" bestFit="1" customWidth="1"/>
    <col min="3" max="3" width="17.42578125" bestFit="1" customWidth="1"/>
    <col min="4" max="5" width="12.42578125" customWidth="1"/>
    <col min="6" max="6" width="16.5703125" bestFit="1" customWidth="1"/>
  </cols>
  <sheetData>
    <row r="1" spans="1:6" s="17" customFormat="1" ht="19.5" x14ac:dyDescent="0.3">
      <c r="A1" s="16" t="s">
        <v>18</v>
      </c>
      <c r="B1" s="16"/>
      <c r="C1" s="16"/>
      <c r="D1" s="16"/>
      <c r="E1" s="16"/>
      <c r="F1" s="16"/>
    </row>
    <row r="2" spans="1:6" x14ac:dyDescent="0.2">
      <c r="A2" t="s">
        <v>4</v>
      </c>
      <c r="B2" s="14">
        <v>0.08</v>
      </c>
    </row>
    <row r="3" spans="1:6" x14ac:dyDescent="0.2">
      <c r="A3" t="s">
        <v>12</v>
      </c>
      <c r="B3" s="18">
        <v>6227.7762383303261</v>
      </c>
      <c r="C3" s="18"/>
      <c r="D3" s="18"/>
      <c r="E3" s="18"/>
    </row>
    <row r="4" spans="1:6" x14ac:dyDescent="0.2">
      <c r="A4" t="s">
        <v>40</v>
      </c>
      <c r="B4" s="18">
        <v>20000</v>
      </c>
      <c r="C4" s="18"/>
      <c r="D4" s="18"/>
      <c r="E4" s="18"/>
    </row>
    <row r="5" spans="1:6" x14ac:dyDescent="0.2">
      <c r="B5" s="18"/>
      <c r="C5" s="18"/>
      <c r="D5" s="18"/>
      <c r="E5" s="18"/>
    </row>
    <row r="6" spans="1:6" s="15" customFormat="1" ht="38.25" x14ac:dyDescent="0.2">
      <c r="A6" s="15" t="s">
        <v>13</v>
      </c>
      <c r="B6" s="19" t="s">
        <v>14</v>
      </c>
      <c r="C6" s="19" t="s">
        <v>15</v>
      </c>
      <c r="D6" s="19" t="s">
        <v>1</v>
      </c>
      <c r="E6" s="19" t="s">
        <v>16</v>
      </c>
    </row>
    <row r="7" spans="1:6" x14ac:dyDescent="0.2">
      <c r="A7" s="23">
        <v>10</v>
      </c>
      <c r="B7" s="18">
        <v>0</v>
      </c>
      <c r="C7" s="18">
        <f t="shared" ref="C7:C14" si="0">$B$3</f>
        <v>6227.7762383303261</v>
      </c>
      <c r="D7" s="18">
        <f>SUM(B7:C7)</f>
        <v>6227.7762383303261</v>
      </c>
      <c r="E7" s="18">
        <f t="shared" ref="E7:E18" si="1">D7*(1+$B$2)</f>
        <v>6725.9983373967525</v>
      </c>
      <c r="F7" t="str">
        <f ca="1">getformula(E7)</f>
        <v>&lt;-- =D7*(1+$B$2)</v>
      </c>
    </row>
    <row r="8" spans="1:6" x14ac:dyDescent="0.2">
      <c r="A8" s="23">
        <f>A7+1</f>
        <v>11</v>
      </c>
      <c r="B8" s="18">
        <f>E7</f>
        <v>6725.9983373967525</v>
      </c>
      <c r="C8" s="18">
        <f t="shared" si="0"/>
        <v>6227.7762383303261</v>
      </c>
      <c r="D8" s="18">
        <f>SUM(B8:C8)</f>
        <v>12953.774575727079</v>
      </c>
      <c r="E8" s="18">
        <f t="shared" si="1"/>
        <v>13990.076541785245</v>
      </c>
      <c r="F8" t="str">
        <f ca="1">getformula(E8)</f>
        <v>&lt;-- =D8*(1+$B$2)</v>
      </c>
    </row>
    <row r="9" spans="1:6" x14ac:dyDescent="0.2">
      <c r="A9" s="23">
        <f t="shared" ref="A9:A18" si="2">A8+1</f>
        <v>12</v>
      </c>
      <c r="B9" s="18">
        <f t="shared" ref="B9:B18" si="3">E8</f>
        <v>13990.076541785245</v>
      </c>
      <c r="C9" s="18">
        <f t="shared" si="0"/>
        <v>6227.7762383303261</v>
      </c>
      <c r="D9" s="18">
        <f t="shared" ref="D9:D18" si="4">SUM(B9:C9)</f>
        <v>20217.852780115572</v>
      </c>
      <c r="E9" s="18">
        <f t="shared" si="1"/>
        <v>21835.281002524818</v>
      </c>
      <c r="F9" t="str">
        <f t="shared" ref="E9:F20" ca="1" si="5">getformula(E9)</f>
        <v>&lt;-- =D9*(1+$B$2)</v>
      </c>
    </row>
    <row r="10" spans="1:6" x14ac:dyDescent="0.2">
      <c r="A10" s="23">
        <f t="shared" si="2"/>
        <v>13</v>
      </c>
      <c r="B10" s="18">
        <f t="shared" si="3"/>
        <v>21835.281002524818</v>
      </c>
      <c r="C10" s="18">
        <f t="shared" si="0"/>
        <v>6227.7762383303261</v>
      </c>
      <c r="D10" s="18">
        <f t="shared" si="4"/>
        <v>28063.057240855145</v>
      </c>
      <c r="E10" s="18">
        <f t="shared" si="1"/>
        <v>30308.10182012356</v>
      </c>
      <c r="F10" t="str">
        <f t="shared" ca="1" si="5"/>
        <v>&lt;-- =D10*(1+$B$2)</v>
      </c>
    </row>
    <row r="11" spans="1:6" x14ac:dyDescent="0.2">
      <c r="A11" s="23">
        <f t="shared" si="2"/>
        <v>14</v>
      </c>
      <c r="B11" s="18">
        <f t="shared" si="3"/>
        <v>30308.10182012356</v>
      </c>
      <c r="C11" s="18">
        <f t="shared" si="0"/>
        <v>6227.7762383303261</v>
      </c>
      <c r="D11" s="18">
        <f t="shared" si="4"/>
        <v>36535.878058453884</v>
      </c>
      <c r="E11" s="18">
        <f t="shared" si="1"/>
        <v>39458.748303130196</v>
      </c>
      <c r="F11" t="str">
        <f t="shared" ca="1" si="5"/>
        <v>&lt;-- =D11*(1+$B$2)</v>
      </c>
    </row>
    <row r="12" spans="1:6" x14ac:dyDescent="0.2">
      <c r="A12" s="23">
        <f t="shared" si="2"/>
        <v>15</v>
      </c>
      <c r="B12" s="18">
        <f t="shared" si="3"/>
        <v>39458.748303130196</v>
      </c>
      <c r="C12" s="18">
        <f t="shared" si="0"/>
        <v>6227.7762383303261</v>
      </c>
      <c r="D12" s="18">
        <f t="shared" si="4"/>
        <v>45686.524541460523</v>
      </c>
      <c r="E12" s="18">
        <f t="shared" si="1"/>
        <v>49341.44650477737</v>
      </c>
      <c r="F12" t="str">
        <f t="shared" ca="1" si="5"/>
        <v>&lt;-- =D12*(1+$B$2)</v>
      </c>
    </row>
    <row r="13" spans="1:6" x14ac:dyDescent="0.2">
      <c r="A13" s="23">
        <f t="shared" si="2"/>
        <v>16</v>
      </c>
      <c r="B13" s="18">
        <f t="shared" si="3"/>
        <v>49341.44650477737</v>
      </c>
      <c r="C13" s="18">
        <f t="shared" si="0"/>
        <v>6227.7762383303261</v>
      </c>
      <c r="D13" s="18">
        <f t="shared" si="4"/>
        <v>55569.222743107697</v>
      </c>
      <c r="E13" s="18">
        <f t="shared" si="1"/>
        <v>60014.760562556316</v>
      </c>
      <c r="F13" t="str">
        <f t="shared" ca="1" si="5"/>
        <v>&lt;-- =D13*(1+$B$2)</v>
      </c>
    </row>
    <row r="14" spans="1:6" x14ac:dyDescent="0.2">
      <c r="A14" s="23">
        <f t="shared" si="2"/>
        <v>17</v>
      </c>
      <c r="B14" s="18">
        <f t="shared" si="3"/>
        <v>60014.760562556316</v>
      </c>
      <c r="C14" s="18">
        <f t="shared" si="0"/>
        <v>6227.7762383303261</v>
      </c>
      <c r="D14" s="18">
        <f t="shared" si="4"/>
        <v>66242.536800886635</v>
      </c>
      <c r="E14" s="18">
        <f t="shared" si="1"/>
        <v>71541.939744957577</v>
      </c>
      <c r="F14" t="str">
        <f t="shared" ca="1" si="5"/>
        <v>&lt;-- =D14*(1+$B$2)</v>
      </c>
    </row>
    <row r="15" spans="1:6" x14ac:dyDescent="0.2">
      <c r="A15" s="23">
        <f t="shared" si="2"/>
        <v>18</v>
      </c>
      <c r="B15" s="18">
        <f t="shared" si="3"/>
        <v>71541.939744957577</v>
      </c>
      <c r="C15" s="18">
        <f>-$B$4</f>
        <v>-20000</v>
      </c>
      <c r="D15" s="18">
        <f t="shared" si="4"/>
        <v>51541.939744957577</v>
      </c>
      <c r="E15" s="18">
        <f t="shared" si="1"/>
        <v>55665.294924554189</v>
      </c>
      <c r="F15" t="str">
        <f t="shared" ca="1" si="5"/>
        <v>&lt;-- =D15*(1+$B$2)</v>
      </c>
    </row>
    <row r="16" spans="1:6" x14ac:dyDescent="0.2">
      <c r="A16" s="23">
        <f t="shared" si="2"/>
        <v>19</v>
      </c>
      <c r="B16" s="18">
        <f t="shared" si="3"/>
        <v>55665.294924554189</v>
      </c>
      <c r="C16" s="18">
        <f>-$B$4</f>
        <v>-20000</v>
      </c>
      <c r="D16" s="18">
        <f t="shared" si="4"/>
        <v>35665.294924554189</v>
      </c>
      <c r="E16" s="20">
        <f t="shared" si="1"/>
        <v>38518.518518518526</v>
      </c>
      <c r="F16" t="str">
        <f t="shared" ca="1" si="5"/>
        <v>&lt;-- =D16*(1+$B$2)</v>
      </c>
    </row>
    <row r="17" spans="1:6" x14ac:dyDescent="0.2">
      <c r="A17" s="23">
        <f t="shared" si="2"/>
        <v>20</v>
      </c>
      <c r="B17" s="18">
        <f t="shared" si="3"/>
        <v>38518.518518518526</v>
      </c>
      <c r="C17" s="18">
        <f>-$B$4</f>
        <v>-20000</v>
      </c>
      <c r="D17" s="18">
        <f t="shared" si="4"/>
        <v>18518.518518518526</v>
      </c>
      <c r="E17" s="20">
        <f t="shared" si="1"/>
        <v>20000.000000000007</v>
      </c>
      <c r="F17" t="str">
        <f t="shared" ca="1" si="5"/>
        <v>&lt;-- =D17*(1+$B$2)</v>
      </c>
    </row>
    <row r="18" spans="1:6" x14ac:dyDescent="0.2">
      <c r="A18" s="23">
        <f t="shared" si="2"/>
        <v>21</v>
      </c>
      <c r="B18" s="18">
        <f t="shared" si="3"/>
        <v>20000.000000000007</v>
      </c>
      <c r="C18" s="18">
        <f>-$B$4</f>
        <v>-20000</v>
      </c>
      <c r="D18" s="18">
        <f t="shared" si="4"/>
        <v>0</v>
      </c>
      <c r="E18" s="20">
        <f t="shared" si="1"/>
        <v>0</v>
      </c>
      <c r="F18" t="str">
        <f t="shared" ca="1" si="5"/>
        <v>&lt;-- =D18*(1+$B$2)</v>
      </c>
    </row>
    <row r="20" spans="1:6" x14ac:dyDescent="0.2">
      <c r="C20" s="21" t="s">
        <v>17</v>
      </c>
      <c r="D20" s="22">
        <f>NPV(B2,C8:C18)+C7</f>
        <v>9.0949470177292824E-12</v>
      </c>
      <c r="E20" t="str">
        <f t="shared" ca="1" si="5"/>
        <v>&lt;-- =NPV(B2,C8:C18)+C7</v>
      </c>
    </row>
  </sheetData>
  <printOptions headings="1" gridLines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20"/>
  <sheetViews>
    <sheetView zoomScale="115" zoomScaleNormal="115" workbookViewId="0">
      <selection activeCell="E17" sqref="E17"/>
    </sheetView>
  </sheetViews>
  <sheetFormatPr defaultRowHeight="12.75" x14ac:dyDescent="0.2"/>
  <cols>
    <col min="1" max="1" width="19.5703125" bestFit="1" customWidth="1"/>
    <col min="2" max="2" width="19.42578125" bestFit="1" customWidth="1"/>
    <col min="3" max="3" width="17.42578125" bestFit="1" customWidth="1"/>
    <col min="4" max="5" width="12.42578125" customWidth="1"/>
    <col min="6" max="6" width="16.5703125" bestFit="1" customWidth="1"/>
  </cols>
  <sheetData>
    <row r="1" spans="1:6" s="17" customFormat="1" ht="19.5" x14ac:dyDescent="0.3">
      <c r="A1" s="16" t="s">
        <v>18</v>
      </c>
      <c r="B1" s="16"/>
      <c r="C1" s="16"/>
      <c r="D1" s="16"/>
      <c r="E1" s="16"/>
      <c r="F1" s="16"/>
    </row>
    <row r="2" spans="1:6" x14ac:dyDescent="0.2">
      <c r="A2" t="s">
        <v>4</v>
      </c>
      <c r="B2" s="14">
        <v>0.08</v>
      </c>
    </row>
    <row r="3" spans="1:6" x14ac:dyDescent="0.2">
      <c r="A3" t="s">
        <v>12</v>
      </c>
      <c r="B3" s="18">
        <v>4000</v>
      </c>
      <c r="C3" s="18"/>
      <c r="D3" s="18"/>
      <c r="E3" s="18"/>
    </row>
    <row r="4" spans="1:6" x14ac:dyDescent="0.2">
      <c r="A4" t="s">
        <v>40</v>
      </c>
      <c r="B4" s="18">
        <v>20000</v>
      </c>
      <c r="C4" s="18"/>
      <c r="D4" s="18"/>
      <c r="E4" s="18"/>
    </row>
    <row r="5" spans="1:6" x14ac:dyDescent="0.2">
      <c r="B5" s="18"/>
      <c r="C5" s="18"/>
      <c r="D5" s="18"/>
      <c r="E5" s="18"/>
    </row>
    <row r="6" spans="1:6" s="15" customFormat="1" ht="38.25" x14ac:dyDescent="0.2">
      <c r="A6" s="15" t="s">
        <v>13</v>
      </c>
      <c r="B6" s="19" t="s">
        <v>14</v>
      </c>
      <c r="C6" s="19" t="s">
        <v>15</v>
      </c>
      <c r="D6" s="19" t="s">
        <v>1</v>
      </c>
      <c r="E6" s="19" t="s">
        <v>16</v>
      </c>
    </row>
    <row r="7" spans="1:6" x14ac:dyDescent="0.2">
      <c r="A7" s="23">
        <v>10</v>
      </c>
      <c r="B7" s="18">
        <v>0</v>
      </c>
      <c r="C7" s="18">
        <f t="shared" ref="C7:C14" si="0">$B$3</f>
        <v>4000</v>
      </c>
      <c r="D7" s="18">
        <f>SUM(B7:C7)</f>
        <v>4000</v>
      </c>
      <c r="E7" s="18">
        <f t="shared" ref="E7:E18" si="1">D7*(1+$B$2)</f>
        <v>4320</v>
      </c>
      <c r="F7" t="str">
        <f ca="1">getformula(E7)</f>
        <v>&lt;-- =D7*(1+$B$2)</v>
      </c>
    </row>
    <row r="8" spans="1:6" x14ac:dyDescent="0.2">
      <c r="A8" s="23">
        <f>A7+1</f>
        <v>11</v>
      </c>
      <c r="B8" s="18">
        <f>E7</f>
        <v>4320</v>
      </c>
      <c r="C8" s="18">
        <f t="shared" si="0"/>
        <v>4000</v>
      </c>
      <c r="D8" s="18">
        <f>SUM(B8:C8)</f>
        <v>8320</v>
      </c>
      <c r="E8" s="18">
        <f t="shared" si="1"/>
        <v>8985.6</v>
      </c>
      <c r="F8" t="str">
        <f ca="1">getformula(E8)</f>
        <v>&lt;-- =D8*(1+$B$2)</v>
      </c>
    </row>
    <row r="9" spans="1:6" x14ac:dyDescent="0.2">
      <c r="A9" s="23">
        <f t="shared" ref="A9:A18" si="2">A8+1</f>
        <v>12</v>
      </c>
      <c r="B9" s="18">
        <f t="shared" ref="B9:B18" si="3">E8</f>
        <v>8985.6</v>
      </c>
      <c r="C9" s="18">
        <f t="shared" si="0"/>
        <v>4000</v>
      </c>
      <c r="D9" s="18">
        <f t="shared" ref="D9:D18" si="4">SUM(B9:C9)</f>
        <v>12985.6</v>
      </c>
      <c r="E9" s="18">
        <f t="shared" si="1"/>
        <v>14024.448000000002</v>
      </c>
      <c r="F9" t="str">
        <f t="shared" ref="E9:F20" ca="1" si="5">getformula(E9)</f>
        <v>&lt;-- =D9*(1+$B$2)</v>
      </c>
    </row>
    <row r="10" spans="1:6" x14ac:dyDescent="0.2">
      <c r="A10" s="23">
        <f t="shared" si="2"/>
        <v>13</v>
      </c>
      <c r="B10" s="18">
        <f t="shared" si="3"/>
        <v>14024.448000000002</v>
      </c>
      <c r="C10" s="18">
        <f t="shared" si="0"/>
        <v>4000</v>
      </c>
      <c r="D10" s="18">
        <f t="shared" si="4"/>
        <v>18024.448000000004</v>
      </c>
      <c r="E10" s="18">
        <f t="shared" si="1"/>
        <v>19466.403840000006</v>
      </c>
      <c r="F10" t="str">
        <f t="shared" ca="1" si="5"/>
        <v>&lt;-- =D10*(1+$B$2)</v>
      </c>
    </row>
    <row r="11" spans="1:6" x14ac:dyDescent="0.2">
      <c r="A11" s="23">
        <f t="shared" si="2"/>
        <v>14</v>
      </c>
      <c r="B11" s="18">
        <f t="shared" si="3"/>
        <v>19466.403840000006</v>
      </c>
      <c r="C11" s="18">
        <f t="shared" si="0"/>
        <v>4000</v>
      </c>
      <c r="D11" s="18">
        <f t="shared" si="4"/>
        <v>23466.403840000006</v>
      </c>
      <c r="E11" s="18">
        <f t="shared" si="1"/>
        <v>25343.716147200008</v>
      </c>
      <c r="F11" t="str">
        <f t="shared" ca="1" si="5"/>
        <v>&lt;-- =D11*(1+$B$2)</v>
      </c>
    </row>
    <row r="12" spans="1:6" x14ac:dyDescent="0.2">
      <c r="A12" s="23">
        <f t="shared" si="2"/>
        <v>15</v>
      </c>
      <c r="B12" s="18">
        <f t="shared" si="3"/>
        <v>25343.716147200008</v>
      </c>
      <c r="C12" s="18">
        <f t="shared" si="0"/>
        <v>4000</v>
      </c>
      <c r="D12" s="18">
        <f t="shared" si="4"/>
        <v>29343.716147200008</v>
      </c>
      <c r="E12" s="18">
        <f t="shared" si="1"/>
        <v>31691.21343897601</v>
      </c>
      <c r="F12" t="str">
        <f t="shared" ca="1" si="5"/>
        <v>&lt;-- =D12*(1+$B$2)</v>
      </c>
    </row>
    <row r="13" spans="1:6" x14ac:dyDescent="0.2">
      <c r="A13" s="23">
        <f t="shared" si="2"/>
        <v>16</v>
      </c>
      <c r="B13" s="18">
        <f t="shared" si="3"/>
        <v>31691.21343897601</v>
      </c>
      <c r="C13" s="18">
        <f t="shared" si="0"/>
        <v>4000</v>
      </c>
      <c r="D13" s="18">
        <f t="shared" si="4"/>
        <v>35691.21343897601</v>
      </c>
      <c r="E13" s="18">
        <f t="shared" si="1"/>
        <v>38546.510514094094</v>
      </c>
      <c r="F13" t="str">
        <f t="shared" ca="1" si="5"/>
        <v>&lt;-- =D13*(1+$B$2)</v>
      </c>
    </row>
    <row r="14" spans="1:6" x14ac:dyDescent="0.2">
      <c r="A14" s="23">
        <f t="shared" si="2"/>
        <v>17</v>
      </c>
      <c r="B14" s="18">
        <f t="shared" si="3"/>
        <v>38546.510514094094</v>
      </c>
      <c r="C14" s="18">
        <f t="shared" si="0"/>
        <v>4000</v>
      </c>
      <c r="D14" s="18">
        <f t="shared" si="4"/>
        <v>42546.510514094094</v>
      </c>
      <c r="E14" s="18">
        <f t="shared" si="1"/>
        <v>45950.231355221622</v>
      </c>
      <c r="F14" t="str">
        <f t="shared" ca="1" si="5"/>
        <v>&lt;-- =D14*(1+$B$2)</v>
      </c>
    </row>
    <row r="15" spans="1:6" x14ac:dyDescent="0.2">
      <c r="A15" s="23">
        <f t="shared" si="2"/>
        <v>18</v>
      </c>
      <c r="B15" s="18">
        <f t="shared" si="3"/>
        <v>45950.231355221622</v>
      </c>
      <c r="C15" s="18">
        <f>-$B$4</f>
        <v>-20000</v>
      </c>
      <c r="D15" s="18">
        <f t="shared" si="4"/>
        <v>25950.231355221622</v>
      </c>
      <c r="E15" s="18">
        <f t="shared" si="1"/>
        <v>28026.249863639354</v>
      </c>
      <c r="F15" t="str">
        <f t="shared" ca="1" si="5"/>
        <v>&lt;-- =D15*(1+$B$2)</v>
      </c>
    </row>
    <row r="16" spans="1:6" x14ac:dyDescent="0.2">
      <c r="A16" s="23">
        <f t="shared" si="2"/>
        <v>19</v>
      </c>
      <c r="B16" s="18">
        <f t="shared" si="3"/>
        <v>28026.249863639354</v>
      </c>
      <c r="C16" s="18">
        <f>-$B$4</f>
        <v>-20000</v>
      </c>
      <c r="D16" s="18">
        <f t="shared" si="4"/>
        <v>8026.2498636393539</v>
      </c>
      <c r="E16" s="20">
        <f t="shared" si="1"/>
        <v>8668.3498527305019</v>
      </c>
      <c r="F16" t="str">
        <f t="shared" ca="1" si="5"/>
        <v>&lt;-- =D16*(1+$B$2)</v>
      </c>
    </row>
    <row r="17" spans="1:6" x14ac:dyDescent="0.2">
      <c r="A17" s="23">
        <f t="shared" si="2"/>
        <v>20</v>
      </c>
      <c r="B17" s="18">
        <f t="shared" si="3"/>
        <v>8668.3498527305019</v>
      </c>
      <c r="C17" s="18">
        <f>-$B$4</f>
        <v>-20000</v>
      </c>
      <c r="D17" s="18">
        <f t="shared" si="4"/>
        <v>-11331.650147269498</v>
      </c>
      <c r="E17" s="20">
        <f t="shared" si="1"/>
        <v>-12238.182159051059</v>
      </c>
      <c r="F17" t="str">
        <f t="shared" ca="1" si="5"/>
        <v>&lt;-- =D17*(1+$B$2)</v>
      </c>
    </row>
    <row r="18" spans="1:6" x14ac:dyDescent="0.2">
      <c r="A18" s="23">
        <f t="shared" si="2"/>
        <v>21</v>
      </c>
      <c r="B18" s="18">
        <f t="shared" si="3"/>
        <v>-12238.182159051059</v>
      </c>
      <c r="C18" s="18">
        <f>-$B$4</f>
        <v>-20000</v>
      </c>
      <c r="D18" s="18">
        <f t="shared" si="4"/>
        <v>-32238.182159051059</v>
      </c>
      <c r="E18" s="20">
        <f t="shared" si="1"/>
        <v>-34817.236731775149</v>
      </c>
      <c r="F18" t="str">
        <f t="shared" ca="1" si="5"/>
        <v>&lt;-- =D18*(1+$B$2)</v>
      </c>
    </row>
    <row r="20" spans="1:6" x14ac:dyDescent="0.2">
      <c r="C20" s="21" t="s">
        <v>17</v>
      </c>
      <c r="D20" s="22">
        <f>NPV(B2,C8:C18)+C7</f>
        <v>-13826.403744222494</v>
      </c>
      <c r="E20" t="str">
        <f t="shared" ca="1" si="5"/>
        <v>&lt;-- =NPV(B2,C8:C18)+C7</v>
      </c>
    </row>
  </sheetData>
  <printOptions headings="1" gridLines="1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C10"/>
  <sheetViews>
    <sheetView workbookViewId="0">
      <selection activeCell="G19" sqref="G19"/>
    </sheetView>
  </sheetViews>
  <sheetFormatPr defaultColWidth="8.85546875" defaultRowHeight="12.75" x14ac:dyDescent="0.2"/>
  <cols>
    <col min="1" max="1" width="22.140625" style="29" customWidth="1"/>
    <col min="2" max="2" width="11.28515625" style="29" customWidth="1"/>
    <col min="3" max="3" width="35.42578125" style="29" customWidth="1"/>
    <col min="4" max="16384" width="8.85546875" style="29"/>
  </cols>
  <sheetData>
    <row r="1" spans="1:3" ht="33" customHeight="1" x14ac:dyDescent="0.2">
      <c r="A1" s="67" t="s">
        <v>69</v>
      </c>
      <c r="B1" s="68"/>
      <c r="C1" s="68"/>
    </row>
    <row r="2" spans="1:3" x14ac:dyDescent="0.2">
      <c r="A2" s="29" t="s">
        <v>4</v>
      </c>
      <c r="B2" s="31">
        <v>0.08</v>
      </c>
    </row>
    <row r="3" spans="1:3" x14ac:dyDescent="0.2">
      <c r="A3" s="30" t="s">
        <v>68</v>
      </c>
      <c r="B3" s="29">
        <v>10</v>
      </c>
    </row>
    <row r="4" spans="1:3" x14ac:dyDescent="0.2">
      <c r="A4" s="30" t="s">
        <v>67</v>
      </c>
      <c r="B4" s="29">
        <v>18</v>
      </c>
    </row>
    <row r="5" spans="1:3" x14ac:dyDescent="0.2">
      <c r="A5" s="30" t="s">
        <v>66</v>
      </c>
      <c r="B5" s="29">
        <v>4</v>
      </c>
    </row>
    <row r="7" spans="1:3" x14ac:dyDescent="0.2">
      <c r="A7" s="29" t="s">
        <v>40</v>
      </c>
      <c r="B7" s="46">
        <v>20000</v>
      </c>
    </row>
    <row r="9" spans="1:3" x14ac:dyDescent="0.2">
      <c r="A9" s="30" t="s">
        <v>65</v>
      </c>
      <c r="B9" s="39">
        <f>PV(B2,B5,-B7,,1)</f>
        <v>71541.939744957621</v>
      </c>
      <c r="C9" s="29" t="str">
        <f ca="1">getformula(B9)</f>
        <v>&lt;-- =PV(B2,B5,-B7,,1)</v>
      </c>
    </row>
    <row r="10" spans="1:3" x14ac:dyDescent="0.2">
      <c r="A10" s="30" t="s">
        <v>31</v>
      </c>
      <c r="B10" s="39">
        <f>PMT(B2,B4-B3,,-B9,1)</f>
        <v>6227.7762383303298</v>
      </c>
      <c r="C10" s="29" t="str">
        <f ca="1">getformula(B10)</f>
        <v>&lt;-- =PMT(B2,B4-B3,,-B9,1)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C9"/>
  <sheetViews>
    <sheetView workbookViewId="0">
      <selection sqref="A1:C1"/>
    </sheetView>
  </sheetViews>
  <sheetFormatPr defaultColWidth="8.85546875" defaultRowHeight="12.75" x14ac:dyDescent="0.2"/>
  <cols>
    <col min="1" max="1" width="22.140625" style="29" customWidth="1"/>
    <col min="2" max="2" width="11.28515625" style="29" customWidth="1"/>
    <col min="3" max="3" width="35.42578125" style="29" customWidth="1"/>
    <col min="4" max="16384" width="8.85546875" style="29"/>
  </cols>
  <sheetData>
    <row r="1" spans="1:3" ht="33" customHeight="1" x14ac:dyDescent="0.2">
      <c r="A1" s="67" t="s">
        <v>70</v>
      </c>
      <c r="B1" s="68"/>
      <c r="C1" s="68"/>
    </row>
    <row r="2" spans="1:3" x14ac:dyDescent="0.2">
      <c r="A2" s="29" t="s">
        <v>4</v>
      </c>
      <c r="B2" s="31">
        <v>0.08</v>
      </c>
    </row>
    <row r="3" spans="1:3" x14ac:dyDescent="0.2">
      <c r="A3" s="30" t="s">
        <v>68</v>
      </c>
      <c r="B3" s="29">
        <v>10</v>
      </c>
    </row>
    <row r="4" spans="1:3" x14ac:dyDescent="0.2">
      <c r="A4" s="30" t="s">
        <v>67</v>
      </c>
      <c r="B4" s="29">
        <v>18</v>
      </c>
    </row>
    <row r="5" spans="1:3" x14ac:dyDescent="0.2">
      <c r="A5" s="30" t="s">
        <v>66</v>
      </c>
      <c r="B5" s="29">
        <v>4</v>
      </c>
    </row>
    <row r="7" spans="1:3" x14ac:dyDescent="0.2">
      <c r="A7" s="29" t="s">
        <v>40</v>
      </c>
      <c r="B7" s="46">
        <v>20000</v>
      </c>
    </row>
    <row r="9" spans="1:3" x14ac:dyDescent="0.2">
      <c r="A9" s="30" t="s">
        <v>31</v>
      </c>
      <c r="B9" s="39">
        <f>PMT(B2,B4-B3,,PV(B2,B5,B7,,1),1)</f>
        <v>6227.7762383303298</v>
      </c>
      <c r="C9" s="29" t="str">
        <f ca="1">getformula(B9)</f>
        <v>&lt;-- =PMT(B2,B4-B3,,PV(B2,B5,B7,,1),1)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57"/>
  <sheetViews>
    <sheetView workbookViewId="0">
      <selection activeCell="C9" sqref="C9"/>
    </sheetView>
  </sheetViews>
  <sheetFormatPr defaultColWidth="8.85546875" defaultRowHeight="12.75" x14ac:dyDescent="0.2"/>
  <cols>
    <col min="1" max="1" width="27" style="29" customWidth="1"/>
    <col min="2" max="2" width="11.42578125" style="29" customWidth="1"/>
    <col min="3" max="3" width="70.28515625" style="29" customWidth="1"/>
    <col min="4" max="4" width="11.7109375" style="29" customWidth="1"/>
    <col min="5" max="5" width="13.140625" style="29" customWidth="1"/>
    <col min="6" max="6" width="23" style="29" customWidth="1"/>
    <col min="7" max="7" width="19.7109375" style="29" customWidth="1"/>
    <col min="8" max="8" width="15.140625" style="29" customWidth="1"/>
    <col min="9" max="10" width="12.140625" style="29" customWidth="1"/>
    <col min="11" max="16384" width="8.85546875" style="29"/>
  </cols>
  <sheetData>
    <row r="1" spans="1:10" ht="18" x14ac:dyDescent="0.25">
      <c r="A1" s="59" t="s">
        <v>83</v>
      </c>
      <c r="B1" s="59"/>
      <c r="C1" s="59"/>
      <c r="D1" s="53"/>
      <c r="E1" s="53"/>
    </row>
    <row r="2" spans="1:10" x14ac:dyDescent="0.2">
      <c r="A2" s="29" t="s">
        <v>72</v>
      </c>
      <c r="B2" s="29">
        <v>20</v>
      </c>
      <c r="F2" s="33" t="s">
        <v>82</v>
      </c>
      <c r="G2" s="34"/>
    </row>
    <row r="3" spans="1:10" x14ac:dyDescent="0.2">
      <c r="A3" s="29" t="s">
        <v>81</v>
      </c>
      <c r="B3" s="29">
        <v>64</v>
      </c>
      <c r="F3" s="29" t="s">
        <v>4</v>
      </c>
      <c r="G3" s="31">
        <v>0.08</v>
      </c>
    </row>
    <row r="4" spans="1:10" x14ac:dyDescent="0.2">
      <c r="A4" s="29" t="s">
        <v>80</v>
      </c>
      <c r="B4" s="29">
        <f>B3-B2+1</f>
        <v>45</v>
      </c>
      <c r="C4" s="29" t="str">
        <f ca="1">getformula(B4)</f>
        <v>&lt;-- =B3-B2+1</v>
      </c>
      <c r="F4" s="29" t="s">
        <v>12</v>
      </c>
      <c r="G4" s="39">
        <f>B9</f>
        <v>2540.234078365369</v>
      </c>
    </row>
    <row r="5" spans="1:10" x14ac:dyDescent="0.2">
      <c r="A5" s="29" t="s">
        <v>79</v>
      </c>
      <c r="B5" s="29">
        <v>20</v>
      </c>
      <c r="F5" s="29" t="s">
        <v>78</v>
      </c>
      <c r="G5" s="46">
        <v>20000</v>
      </c>
    </row>
    <row r="6" spans="1:10" x14ac:dyDescent="0.2">
      <c r="A6" s="29" t="s">
        <v>77</v>
      </c>
      <c r="B6" s="46">
        <v>100000</v>
      </c>
      <c r="D6" s="32"/>
    </row>
    <row r="7" spans="1:10" x14ac:dyDescent="0.2">
      <c r="A7" s="29" t="s">
        <v>4</v>
      </c>
      <c r="B7" s="31">
        <v>0.08</v>
      </c>
      <c r="F7" s="33" t="s">
        <v>13</v>
      </c>
      <c r="G7" s="40" t="s">
        <v>76</v>
      </c>
      <c r="H7" s="40" t="s">
        <v>75</v>
      </c>
      <c r="I7" s="33" t="s">
        <v>74</v>
      </c>
      <c r="J7" s="40" t="s">
        <v>73</v>
      </c>
    </row>
    <row r="8" spans="1:10" x14ac:dyDescent="0.2">
      <c r="F8" s="35">
        <v>35</v>
      </c>
      <c r="G8" s="39">
        <v>0</v>
      </c>
      <c r="H8" s="39">
        <f>G4</f>
        <v>2540.234078365369</v>
      </c>
      <c r="I8" s="39">
        <f t="shared" ref="I8:I39" si="0">H8+G8</f>
        <v>2540.234078365369</v>
      </c>
      <c r="J8" s="39">
        <f t="shared" ref="J8:J39" si="1">I8*(1+$G$3)</f>
        <v>2743.4528046345986</v>
      </c>
    </row>
    <row r="9" spans="1:10" x14ac:dyDescent="0.2">
      <c r="A9" s="52" t="s">
        <v>12</v>
      </c>
      <c r="B9" s="38">
        <f>PMT(B7,B4,,PV(B7,B5,B6))</f>
        <v>2540.234078365369</v>
      </c>
      <c r="C9" s="29" t="str">
        <f ca="1">getformula(B9)</f>
        <v>&lt;-- =PMT(B7,B4,,PV(B7,B5,B6))</v>
      </c>
      <c r="F9" s="35">
        <v>36</v>
      </c>
      <c r="G9" s="39">
        <f t="shared" ref="G9:G40" si="2">J8</f>
        <v>2743.4528046345986</v>
      </c>
      <c r="H9" s="39">
        <f t="shared" ref="H9:H37" si="3">H8</f>
        <v>2540.234078365369</v>
      </c>
      <c r="I9" s="39">
        <f t="shared" si="0"/>
        <v>5283.6868829999676</v>
      </c>
      <c r="J9" s="39">
        <f t="shared" si="1"/>
        <v>5706.3818336399654</v>
      </c>
    </row>
    <row r="10" spans="1:10" x14ac:dyDescent="0.2">
      <c r="A10" s="35"/>
      <c r="B10" s="39"/>
      <c r="C10" s="39"/>
      <c r="D10" s="39"/>
      <c r="E10" s="39"/>
      <c r="F10" s="35">
        <v>37</v>
      </c>
      <c r="G10" s="39">
        <f t="shared" si="2"/>
        <v>5706.3818336399654</v>
      </c>
      <c r="H10" s="39">
        <f t="shared" si="3"/>
        <v>2540.234078365369</v>
      </c>
      <c r="I10" s="39">
        <f t="shared" si="0"/>
        <v>8246.6159120053344</v>
      </c>
      <c r="J10" s="39">
        <f t="shared" si="1"/>
        <v>8906.3451849657613</v>
      </c>
    </row>
    <row r="11" spans="1:10" ht="38.25" x14ac:dyDescent="0.2">
      <c r="A11" s="33" t="s">
        <v>72</v>
      </c>
      <c r="B11" s="51" t="s">
        <v>71</v>
      </c>
      <c r="C11" s="39"/>
      <c r="D11" s="39"/>
      <c r="E11" s="39"/>
      <c r="F11" s="35">
        <v>38</v>
      </c>
      <c r="G11" s="39">
        <f t="shared" si="2"/>
        <v>8906.3451849657613</v>
      </c>
      <c r="H11" s="39">
        <f t="shared" si="3"/>
        <v>2540.234078365369</v>
      </c>
      <c r="I11" s="39">
        <f t="shared" si="0"/>
        <v>11446.57926333113</v>
      </c>
      <c r="J11" s="39">
        <f t="shared" si="1"/>
        <v>12362.305604397621</v>
      </c>
    </row>
    <row r="12" spans="1:10" x14ac:dyDescent="0.2">
      <c r="A12" s="35">
        <v>20</v>
      </c>
      <c r="B12" s="39">
        <f t="shared" ref="B12:B27" si="4">PMT($B$7,$B$3-A12+1,,PV($B$7,$B$5,$B$6))</f>
        <v>2540.234078365369</v>
      </c>
      <c r="C12" s="29" t="str">
        <f ca="1">getformula(B12)</f>
        <v>&lt;-- =PMT($B$7,$B$3-A12+1,,PV($B$7,$B$5,$B$6))</v>
      </c>
      <c r="D12" s="39"/>
      <c r="E12" s="39"/>
      <c r="F12" s="35">
        <v>39</v>
      </c>
      <c r="G12" s="39">
        <f t="shared" si="2"/>
        <v>12362.305604397621</v>
      </c>
      <c r="H12" s="39">
        <f t="shared" si="3"/>
        <v>2540.234078365369</v>
      </c>
      <c r="I12" s="39">
        <f t="shared" si="0"/>
        <v>14902.53968276299</v>
      </c>
      <c r="J12" s="39">
        <f t="shared" si="1"/>
        <v>16094.74285738403</v>
      </c>
    </row>
    <row r="13" spans="1:10" x14ac:dyDescent="0.2">
      <c r="A13" s="35">
        <v>22</v>
      </c>
      <c r="B13" s="39">
        <f t="shared" si="4"/>
        <v>2978.960459018685</v>
      </c>
      <c r="C13" s="29" t="str">
        <f ca="1">getformula(B13)</f>
        <v>&lt;-- =PMT($B$7,$B$3-A13+1,,PV($B$7,$B$5,$B$6))</v>
      </c>
      <c r="D13" s="39"/>
      <c r="E13" s="39"/>
      <c r="F13" s="35">
        <v>40</v>
      </c>
      <c r="G13" s="39">
        <f t="shared" si="2"/>
        <v>16094.74285738403</v>
      </c>
      <c r="H13" s="39">
        <f t="shared" si="3"/>
        <v>2540.234078365369</v>
      </c>
      <c r="I13" s="39">
        <f t="shared" si="0"/>
        <v>18634.976935749401</v>
      </c>
      <c r="J13" s="39">
        <f t="shared" si="1"/>
        <v>20125.775090609353</v>
      </c>
    </row>
    <row r="14" spans="1:10" x14ac:dyDescent="0.2">
      <c r="A14" s="35">
        <v>24</v>
      </c>
      <c r="B14" s="39">
        <f t="shared" si="4"/>
        <v>3496.7273432059865</v>
      </c>
      <c r="C14" s="29" t="str">
        <f ca="1">getformula(B14)</f>
        <v>&lt;-- =PMT($B$7,$B$3-A14+1,,PV($B$7,$B$5,$B$6))</v>
      </c>
      <c r="D14" s="39"/>
      <c r="E14" s="39"/>
      <c r="F14" s="35">
        <v>41</v>
      </c>
      <c r="G14" s="39">
        <f t="shared" si="2"/>
        <v>20125.775090609353</v>
      </c>
      <c r="H14" s="39">
        <f t="shared" si="3"/>
        <v>2540.234078365369</v>
      </c>
      <c r="I14" s="39">
        <f t="shared" si="0"/>
        <v>22666.009168974721</v>
      </c>
      <c r="J14" s="39">
        <f t="shared" si="1"/>
        <v>24479.289902492699</v>
      </c>
    </row>
    <row r="15" spans="1:10" x14ac:dyDescent="0.2">
      <c r="A15" s="35">
        <v>26</v>
      </c>
      <c r="B15" s="39">
        <f t="shared" si="4"/>
        <v>4109.0220286050908</v>
      </c>
      <c r="C15" s="39"/>
      <c r="D15" s="39"/>
      <c r="E15" s="39"/>
      <c r="F15" s="35">
        <v>42</v>
      </c>
      <c r="G15" s="39">
        <f t="shared" si="2"/>
        <v>24479.289902492699</v>
      </c>
      <c r="H15" s="39">
        <f t="shared" si="3"/>
        <v>2540.234078365369</v>
      </c>
      <c r="I15" s="39">
        <f t="shared" si="0"/>
        <v>27019.523980858066</v>
      </c>
      <c r="J15" s="39">
        <f t="shared" si="1"/>
        <v>29181.085899326714</v>
      </c>
    </row>
    <row r="16" spans="1:10" x14ac:dyDescent="0.2">
      <c r="A16" s="35">
        <v>28</v>
      </c>
      <c r="B16" s="39">
        <f t="shared" si="4"/>
        <v>4834.851009530993</v>
      </c>
      <c r="C16" s="39"/>
      <c r="D16" s="39"/>
      <c r="E16" s="39"/>
      <c r="F16" s="35">
        <v>43</v>
      </c>
      <c r="G16" s="39">
        <f t="shared" si="2"/>
        <v>29181.085899326714</v>
      </c>
      <c r="H16" s="39">
        <f t="shared" si="3"/>
        <v>2540.234078365369</v>
      </c>
      <c r="I16" s="39">
        <f t="shared" si="0"/>
        <v>31721.319977692081</v>
      </c>
      <c r="J16" s="39">
        <f t="shared" si="1"/>
        <v>34259.02557590745</v>
      </c>
    </row>
    <row r="17" spans="1:10" x14ac:dyDescent="0.2">
      <c r="A17" s="35">
        <v>30</v>
      </c>
      <c r="B17" s="39">
        <f t="shared" si="4"/>
        <v>5697.7306901180746</v>
      </c>
      <c r="C17" s="39"/>
      <c r="D17" s="39"/>
      <c r="E17" s="39"/>
      <c r="F17" s="35">
        <v>44</v>
      </c>
      <c r="G17" s="39">
        <f t="shared" si="2"/>
        <v>34259.02557590745</v>
      </c>
      <c r="H17" s="39">
        <f t="shared" si="3"/>
        <v>2540.234078365369</v>
      </c>
      <c r="I17" s="39">
        <f t="shared" si="0"/>
        <v>36799.259654272821</v>
      </c>
      <c r="J17" s="39">
        <f t="shared" si="1"/>
        <v>39743.200426614647</v>
      </c>
    </row>
    <row r="18" spans="1:10" x14ac:dyDescent="0.2">
      <c r="A18" s="35">
        <v>32</v>
      </c>
      <c r="B18" s="39">
        <f t="shared" si="4"/>
        <v>6727.0336898724736</v>
      </c>
      <c r="C18" s="39"/>
      <c r="D18" s="39"/>
      <c r="E18" s="39"/>
      <c r="F18" s="35">
        <v>45</v>
      </c>
      <c r="G18" s="39">
        <f t="shared" si="2"/>
        <v>39743.200426614647</v>
      </c>
      <c r="H18" s="39">
        <f t="shared" si="3"/>
        <v>2540.234078365369</v>
      </c>
      <c r="I18" s="39">
        <f t="shared" si="0"/>
        <v>42283.434504980018</v>
      </c>
      <c r="J18" s="39">
        <f t="shared" si="1"/>
        <v>45666.109265378422</v>
      </c>
    </row>
    <row r="19" spans="1:10" x14ac:dyDescent="0.2">
      <c r="A19" s="35">
        <v>34</v>
      </c>
      <c r="B19" s="39">
        <f t="shared" si="4"/>
        <v>7959.8510809060745</v>
      </c>
      <c r="C19" s="39"/>
      <c r="D19" s="39"/>
      <c r="E19" s="39"/>
      <c r="F19" s="35">
        <v>46</v>
      </c>
      <c r="G19" s="39">
        <f t="shared" si="2"/>
        <v>45666.109265378422</v>
      </c>
      <c r="H19" s="39">
        <f t="shared" si="3"/>
        <v>2540.234078365369</v>
      </c>
      <c r="I19" s="39">
        <f t="shared" si="0"/>
        <v>48206.343343743793</v>
      </c>
      <c r="J19" s="39">
        <f t="shared" si="1"/>
        <v>52062.850811243297</v>
      </c>
    </row>
    <row r="20" spans="1:10" x14ac:dyDescent="0.2">
      <c r="A20" s="50">
        <v>35</v>
      </c>
      <c r="B20" s="49">
        <f t="shared" si="4"/>
        <v>8666.9042225678822</v>
      </c>
      <c r="F20" s="35">
        <v>47</v>
      </c>
      <c r="G20" s="39">
        <f t="shared" si="2"/>
        <v>52062.850811243297</v>
      </c>
      <c r="H20" s="39">
        <f t="shared" si="3"/>
        <v>2540.234078365369</v>
      </c>
      <c r="I20" s="39">
        <f t="shared" si="0"/>
        <v>54603.084889608668</v>
      </c>
      <c r="J20" s="39">
        <f t="shared" si="1"/>
        <v>58971.331680777366</v>
      </c>
    </row>
    <row r="21" spans="1:10" x14ac:dyDescent="0.2">
      <c r="A21" s="35">
        <v>38</v>
      </c>
      <c r="B21" s="39">
        <f t="shared" si="4"/>
        <v>11239.909610052853</v>
      </c>
      <c r="C21" s="48"/>
      <c r="F21" s="35">
        <v>48</v>
      </c>
      <c r="G21" s="39">
        <f t="shared" si="2"/>
        <v>58971.331680777366</v>
      </c>
      <c r="H21" s="39">
        <f t="shared" si="3"/>
        <v>2540.234078365369</v>
      </c>
      <c r="I21" s="39">
        <f t="shared" si="0"/>
        <v>61511.565759142737</v>
      </c>
      <c r="J21" s="39">
        <f t="shared" si="1"/>
        <v>66432.491019874156</v>
      </c>
    </row>
    <row r="22" spans="1:10" x14ac:dyDescent="0.2">
      <c r="A22" s="35">
        <v>40</v>
      </c>
      <c r="B22" s="39">
        <f t="shared" si="4"/>
        <v>13430.026908615269</v>
      </c>
      <c r="F22" s="35">
        <v>49</v>
      </c>
      <c r="G22" s="39">
        <f t="shared" si="2"/>
        <v>66432.491019874156</v>
      </c>
      <c r="H22" s="39">
        <f t="shared" si="3"/>
        <v>2540.234078365369</v>
      </c>
      <c r="I22" s="39">
        <f t="shared" si="0"/>
        <v>68972.72509823952</v>
      </c>
      <c r="J22" s="39">
        <f t="shared" si="1"/>
        <v>74490.543106098688</v>
      </c>
    </row>
    <row r="23" spans="1:10" x14ac:dyDescent="0.2">
      <c r="A23" s="35">
        <v>42</v>
      </c>
      <c r="B23" s="39">
        <f t="shared" si="4"/>
        <v>16123.527747283038</v>
      </c>
      <c r="F23" s="35">
        <v>50</v>
      </c>
      <c r="G23" s="39">
        <f t="shared" si="2"/>
        <v>74490.543106098688</v>
      </c>
      <c r="H23" s="39">
        <f t="shared" si="3"/>
        <v>2540.234078365369</v>
      </c>
      <c r="I23" s="39">
        <f t="shared" si="0"/>
        <v>77030.777184464052</v>
      </c>
      <c r="J23" s="39">
        <f t="shared" si="1"/>
        <v>83193.239359221188</v>
      </c>
    </row>
    <row r="24" spans="1:10" x14ac:dyDescent="0.2">
      <c r="A24" s="35">
        <v>44</v>
      </c>
      <c r="B24" s="39">
        <f t="shared" si="4"/>
        <v>19471.595708212833</v>
      </c>
      <c r="F24" s="35">
        <v>51</v>
      </c>
      <c r="G24" s="39">
        <f t="shared" si="2"/>
        <v>83193.239359221188</v>
      </c>
      <c r="H24" s="39">
        <f t="shared" si="3"/>
        <v>2540.234078365369</v>
      </c>
      <c r="I24" s="39">
        <f t="shared" si="0"/>
        <v>85733.473437586552</v>
      </c>
      <c r="J24" s="39">
        <f t="shared" si="1"/>
        <v>92592.151312593487</v>
      </c>
    </row>
    <row r="25" spans="1:10" x14ac:dyDescent="0.2">
      <c r="A25" s="35">
        <v>46</v>
      </c>
      <c r="B25" s="39">
        <f t="shared" si="4"/>
        <v>23688.860322180873</v>
      </c>
      <c r="F25" s="35">
        <v>52</v>
      </c>
      <c r="G25" s="39">
        <f t="shared" si="2"/>
        <v>92592.151312593487</v>
      </c>
      <c r="H25" s="39">
        <f t="shared" si="3"/>
        <v>2540.234078365369</v>
      </c>
      <c r="I25" s="39">
        <f t="shared" si="0"/>
        <v>95132.385390958851</v>
      </c>
      <c r="J25" s="39">
        <f t="shared" si="1"/>
        <v>102742.97622223556</v>
      </c>
    </row>
    <row r="26" spans="1:10" x14ac:dyDescent="0.2">
      <c r="A26" s="35">
        <v>48</v>
      </c>
      <c r="B26" s="39">
        <f t="shared" si="4"/>
        <v>29090.612605324743</v>
      </c>
      <c r="F26" s="35">
        <v>53</v>
      </c>
      <c r="G26" s="39">
        <f t="shared" si="2"/>
        <v>102742.97622223556</v>
      </c>
      <c r="H26" s="39">
        <f t="shared" si="3"/>
        <v>2540.234078365369</v>
      </c>
      <c r="I26" s="39">
        <f t="shared" si="0"/>
        <v>105283.21030060093</v>
      </c>
      <c r="J26" s="39">
        <f t="shared" si="1"/>
        <v>113705.86712464901</v>
      </c>
    </row>
    <row r="27" spans="1:10" x14ac:dyDescent="0.2">
      <c r="A27" s="35">
        <v>50</v>
      </c>
      <c r="B27" s="39">
        <f t="shared" si="4"/>
        <v>36159.790113112242</v>
      </c>
      <c r="F27" s="35">
        <v>54</v>
      </c>
      <c r="G27" s="39">
        <f t="shared" si="2"/>
        <v>113705.86712464901</v>
      </c>
      <c r="H27" s="39">
        <f t="shared" si="3"/>
        <v>2540.234078365369</v>
      </c>
      <c r="I27" s="39">
        <f t="shared" si="0"/>
        <v>116246.10120301438</v>
      </c>
      <c r="J27" s="39">
        <f t="shared" si="1"/>
        <v>125545.78929925553</v>
      </c>
    </row>
    <row r="28" spans="1:10" x14ac:dyDescent="0.2">
      <c r="F28" s="35">
        <v>55</v>
      </c>
      <c r="G28" s="39">
        <f t="shared" si="2"/>
        <v>125545.78929925553</v>
      </c>
      <c r="H28" s="39">
        <f t="shared" si="3"/>
        <v>2540.234078365369</v>
      </c>
      <c r="I28" s="39">
        <f t="shared" si="0"/>
        <v>128086.02337762089</v>
      </c>
      <c r="J28" s="39">
        <f t="shared" si="1"/>
        <v>138332.90524783058</v>
      </c>
    </row>
    <row r="29" spans="1:10" x14ac:dyDescent="0.2">
      <c r="F29" s="35">
        <v>56</v>
      </c>
      <c r="G29" s="39">
        <f t="shared" si="2"/>
        <v>138332.90524783058</v>
      </c>
      <c r="H29" s="39">
        <f t="shared" si="3"/>
        <v>2540.234078365369</v>
      </c>
      <c r="I29" s="39">
        <f t="shared" si="0"/>
        <v>140873.13932619596</v>
      </c>
      <c r="J29" s="39">
        <f t="shared" si="1"/>
        <v>152142.99047229165</v>
      </c>
    </row>
    <row r="30" spans="1:10" x14ac:dyDescent="0.2">
      <c r="F30" s="35">
        <v>57</v>
      </c>
      <c r="G30" s="39">
        <f t="shared" si="2"/>
        <v>152142.99047229165</v>
      </c>
      <c r="H30" s="39">
        <f t="shared" si="3"/>
        <v>2540.234078365369</v>
      </c>
      <c r="I30" s="39">
        <f t="shared" si="0"/>
        <v>154683.22455065703</v>
      </c>
      <c r="J30" s="39">
        <f t="shared" si="1"/>
        <v>167057.88251470961</v>
      </c>
    </row>
    <row r="31" spans="1:10" x14ac:dyDescent="0.2">
      <c r="F31" s="35">
        <v>58</v>
      </c>
      <c r="G31" s="39">
        <f t="shared" si="2"/>
        <v>167057.88251470961</v>
      </c>
      <c r="H31" s="39">
        <f t="shared" si="3"/>
        <v>2540.234078365369</v>
      </c>
      <c r="I31" s="39">
        <f t="shared" si="0"/>
        <v>169598.11659307498</v>
      </c>
      <c r="J31" s="39">
        <f t="shared" si="1"/>
        <v>183165.965920521</v>
      </c>
    </row>
    <row r="32" spans="1:10" ht="15.75" x14ac:dyDescent="0.25">
      <c r="A32" s="47"/>
      <c r="F32" s="35">
        <v>59</v>
      </c>
      <c r="G32" s="39">
        <f t="shared" si="2"/>
        <v>183165.965920521</v>
      </c>
      <c r="H32" s="39">
        <f t="shared" si="3"/>
        <v>2540.234078365369</v>
      </c>
      <c r="I32" s="39">
        <f t="shared" si="0"/>
        <v>185706.19999888638</v>
      </c>
      <c r="J32" s="39">
        <f t="shared" si="1"/>
        <v>200562.69599879731</v>
      </c>
    </row>
    <row r="33" spans="6:10" x14ac:dyDescent="0.2">
      <c r="F33" s="35">
        <v>60</v>
      </c>
      <c r="G33" s="39">
        <f t="shared" si="2"/>
        <v>200562.69599879731</v>
      </c>
      <c r="H33" s="39">
        <f t="shared" si="3"/>
        <v>2540.234078365369</v>
      </c>
      <c r="I33" s="39">
        <f t="shared" si="0"/>
        <v>203102.93007716269</v>
      </c>
      <c r="J33" s="39">
        <f t="shared" si="1"/>
        <v>219351.16448333571</v>
      </c>
    </row>
    <row r="34" spans="6:10" x14ac:dyDescent="0.2">
      <c r="F34" s="35">
        <v>61</v>
      </c>
      <c r="G34" s="39">
        <f t="shared" si="2"/>
        <v>219351.16448333571</v>
      </c>
      <c r="H34" s="39">
        <f t="shared" si="3"/>
        <v>2540.234078365369</v>
      </c>
      <c r="I34" s="39">
        <f t="shared" si="0"/>
        <v>221891.39856170109</v>
      </c>
      <c r="J34" s="39">
        <f t="shared" si="1"/>
        <v>239642.71044663718</v>
      </c>
    </row>
    <row r="35" spans="6:10" x14ac:dyDescent="0.2">
      <c r="F35" s="35">
        <v>62</v>
      </c>
      <c r="G35" s="39">
        <f t="shared" si="2"/>
        <v>239642.71044663718</v>
      </c>
      <c r="H35" s="39">
        <f t="shared" si="3"/>
        <v>2540.234078365369</v>
      </c>
      <c r="I35" s="39">
        <f t="shared" si="0"/>
        <v>242182.94452500256</v>
      </c>
      <c r="J35" s="39">
        <f t="shared" si="1"/>
        <v>261557.58008700277</v>
      </c>
    </row>
    <row r="36" spans="6:10" x14ac:dyDescent="0.2">
      <c r="F36" s="35">
        <v>63</v>
      </c>
      <c r="G36" s="39">
        <f t="shared" si="2"/>
        <v>261557.58008700277</v>
      </c>
      <c r="H36" s="39">
        <f t="shared" si="3"/>
        <v>2540.234078365369</v>
      </c>
      <c r="I36" s="39">
        <f t="shared" si="0"/>
        <v>264097.81416536815</v>
      </c>
      <c r="J36" s="39">
        <f t="shared" si="1"/>
        <v>285225.63929859764</v>
      </c>
    </row>
    <row r="37" spans="6:10" x14ac:dyDescent="0.2">
      <c r="F37" s="35">
        <v>64</v>
      </c>
      <c r="G37" s="39">
        <f t="shared" si="2"/>
        <v>285225.63929859764</v>
      </c>
      <c r="H37" s="39">
        <f t="shared" si="3"/>
        <v>2540.234078365369</v>
      </c>
      <c r="I37" s="39">
        <f t="shared" si="0"/>
        <v>287765.87337696302</v>
      </c>
      <c r="J37" s="39">
        <f t="shared" si="1"/>
        <v>310787.14324712008</v>
      </c>
    </row>
    <row r="38" spans="6:10" x14ac:dyDescent="0.2">
      <c r="F38" s="35">
        <v>65</v>
      </c>
      <c r="G38" s="39">
        <f t="shared" si="2"/>
        <v>310787.14324712008</v>
      </c>
      <c r="H38" s="46">
        <v>-100000</v>
      </c>
      <c r="I38" s="39">
        <f t="shared" si="0"/>
        <v>210787.14324712008</v>
      </c>
      <c r="J38" s="39">
        <f t="shared" si="1"/>
        <v>227650.1147068897</v>
      </c>
    </row>
    <row r="39" spans="6:10" x14ac:dyDescent="0.2">
      <c r="F39" s="35">
        <v>66</v>
      </c>
      <c r="G39" s="39">
        <f t="shared" si="2"/>
        <v>227650.1147068897</v>
      </c>
      <c r="H39" s="46">
        <v>-100000</v>
      </c>
      <c r="I39" s="39">
        <f t="shared" si="0"/>
        <v>127650.1147068897</v>
      </c>
      <c r="J39" s="39">
        <f t="shared" si="1"/>
        <v>137862.12388344089</v>
      </c>
    </row>
    <row r="40" spans="6:10" x14ac:dyDescent="0.2">
      <c r="F40" s="35">
        <v>67</v>
      </c>
      <c r="G40" s="39">
        <f t="shared" si="2"/>
        <v>137862.12388344089</v>
      </c>
      <c r="H40" s="46">
        <v>-100000</v>
      </c>
      <c r="I40" s="39">
        <f t="shared" ref="I40:I57" si="5">H40+G40</f>
        <v>37862.123883440887</v>
      </c>
      <c r="J40" s="39">
        <f t="shared" ref="J40:J57" si="6">I40*(1+$G$3)</f>
        <v>40891.093794116161</v>
      </c>
    </row>
    <row r="41" spans="6:10" x14ac:dyDescent="0.2">
      <c r="F41" s="35">
        <v>68</v>
      </c>
      <c r="G41" s="39">
        <f t="shared" ref="G41:G57" si="7">J40</f>
        <v>40891.093794116161</v>
      </c>
      <c r="H41" s="46">
        <v>-100000</v>
      </c>
      <c r="I41" s="39">
        <f t="shared" si="5"/>
        <v>-59108.906205883839</v>
      </c>
      <c r="J41" s="39">
        <f t="shared" si="6"/>
        <v>-63837.61870235455</v>
      </c>
    </row>
    <row r="42" spans="6:10" x14ac:dyDescent="0.2">
      <c r="F42" s="35">
        <v>69</v>
      </c>
      <c r="G42" s="39">
        <f t="shared" si="7"/>
        <v>-63837.61870235455</v>
      </c>
      <c r="H42" s="46">
        <v>-100000</v>
      </c>
      <c r="I42" s="39">
        <f t="shared" si="5"/>
        <v>-163837.61870235455</v>
      </c>
      <c r="J42" s="39">
        <f t="shared" si="6"/>
        <v>-176944.62819854292</v>
      </c>
    </row>
    <row r="43" spans="6:10" x14ac:dyDescent="0.2">
      <c r="F43" s="35">
        <v>70</v>
      </c>
      <c r="G43" s="39">
        <f t="shared" si="7"/>
        <v>-176944.62819854292</v>
      </c>
      <c r="H43" s="46">
        <v>-100000</v>
      </c>
      <c r="I43" s="39">
        <f t="shared" si="5"/>
        <v>-276944.62819854292</v>
      </c>
      <c r="J43" s="39">
        <f t="shared" si="6"/>
        <v>-299100.19845442637</v>
      </c>
    </row>
    <row r="44" spans="6:10" x14ac:dyDescent="0.2">
      <c r="F44" s="35">
        <v>71</v>
      </c>
      <c r="G44" s="39">
        <f t="shared" si="7"/>
        <v>-299100.19845442637</v>
      </c>
      <c r="H44" s="46">
        <v>-100000</v>
      </c>
      <c r="I44" s="39">
        <f t="shared" si="5"/>
        <v>-399100.19845442637</v>
      </c>
      <c r="J44" s="39">
        <f t="shared" si="6"/>
        <v>-431028.21433078049</v>
      </c>
    </row>
    <row r="45" spans="6:10" x14ac:dyDescent="0.2">
      <c r="F45" s="35">
        <v>72</v>
      </c>
      <c r="G45" s="39">
        <f t="shared" si="7"/>
        <v>-431028.21433078049</v>
      </c>
      <c r="H45" s="46">
        <v>-100000</v>
      </c>
      <c r="I45" s="39">
        <f t="shared" si="5"/>
        <v>-531028.21433078055</v>
      </c>
      <c r="J45" s="39">
        <f t="shared" si="6"/>
        <v>-573510.471477243</v>
      </c>
    </row>
    <row r="46" spans="6:10" x14ac:dyDescent="0.2">
      <c r="F46" s="35">
        <v>73</v>
      </c>
      <c r="G46" s="39">
        <f t="shared" si="7"/>
        <v>-573510.471477243</v>
      </c>
      <c r="H46" s="46">
        <v>-100000</v>
      </c>
      <c r="I46" s="39">
        <f t="shared" si="5"/>
        <v>-673510.471477243</v>
      </c>
      <c r="J46" s="39">
        <f t="shared" si="6"/>
        <v>-727391.30919542245</v>
      </c>
    </row>
    <row r="47" spans="6:10" x14ac:dyDescent="0.2">
      <c r="F47" s="35">
        <v>74</v>
      </c>
      <c r="G47" s="39">
        <f t="shared" si="7"/>
        <v>-727391.30919542245</v>
      </c>
      <c r="H47" s="46">
        <v>-100000</v>
      </c>
      <c r="I47" s="39">
        <f t="shared" si="5"/>
        <v>-827391.30919542245</v>
      </c>
      <c r="J47" s="39">
        <f t="shared" si="6"/>
        <v>-893582.61393105634</v>
      </c>
    </row>
    <row r="48" spans="6:10" x14ac:dyDescent="0.2">
      <c r="F48" s="35">
        <v>75</v>
      </c>
      <c r="G48" s="39">
        <f t="shared" si="7"/>
        <v>-893582.61393105634</v>
      </c>
      <c r="H48" s="46">
        <v>-100000</v>
      </c>
      <c r="I48" s="39">
        <f t="shared" si="5"/>
        <v>-993582.61393105634</v>
      </c>
      <c r="J48" s="39">
        <f t="shared" si="6"/>
        <v>-1073069.223045541</v>
      </c>
    </row>
    <row r="49" spans="6:10" x14ac:dyDescent="0.2">
      <c r="F49" s="35">
        <v>76</v>
      </c>
      <c r="G49" s="39">
        <f t="shared" si="7"/>
        <v>-1073069.223045541</v>
      </c>
      <c r="H49" s="46">
        <v>-100000</v>
      </c>
      <c r="I49" s="39">
        <f t="shared" si="5"/>
        <v>-1173069.223045541</v>
      </c>
      <c r="J49" s="39">
        <f t="shared" si="6"/>
        <v>-1266914.7608891844</v>
      </c>
    </row>
    <row r="50" spans="6:10" x14ac:dyDescent="0.2">
      <c r="F50" s="35">
        <v>77</v>
      </c>
      <c r="G50" s="39">
        <f t="shared" si="7"/>
        <v>-1266914.7608891844</v>
      </c>
      <c r="H50" s="46">
        <v>-100000</v>
      </c>
      <c r="I50" s="39">
        <f t="shared" si="5"/>
        <v>-1366914.7608891844</v>
      </c>
      <c r="J50" s="39">
        <f t="shared" si="6"/>
        <v>-1476267.9417603193</v>
      </c>
    </row>
    <row r="51" spans="6:10" x14ac:dyDescent="0.2">
      <c r="F51" s="35">
        <v>78</v>
      </c>
      <c r="G51" s="39">
        <f t="shared" si="7"/>
        <v>-1476267.9417603193</v>
      </c>
      <c r="H51" s="46">
        <v>-100000</v>
      </c>
      <c r="I51" s="39">
        <f t="shared" si="5"/>
        <v>-1576267.9417603193</v>
      </c>
      <c r="J51" s="39">
        <f t="shared" si="6"/>
        <v>-1702369.377101145</v>
      </c>
    </row>
    <row r="52" spans="6:10" x14ac:dyDescent="0.2">
      <c r="F52" s="35">
        <v>79</v>
      </c>
      <c r="G52" s="39">
        <f t="shared" si="7"/>
        <v>-1702369.377101145</v>
      </c>
      <c r="H52" s="46">
        <v>-100000</v>
      </c>
      <c r="I52" s="39">
        <f t="shared" si="5"/>
        <v>-1802369.377101145</v>
      </c>
      <c r="J52" s="39">
        <f t="shared" si="6"/>
        <v>-1946558.9272692367</v>
      </c>
    </row>
    <row r="53" spans="6:10" x14ac:dyDescent="0.2">
      <c r="F53" s="35">
        <v>80</v>
      </c>
      <c r="G53" s="39">
        <f t="shared" si="7"/>
        <v>-1946558.9272692367</v>
      </c>
      <c r="H53" s="46">
        <v>-100000</v>
      </c>
      <c r="I53" s="39">
        <f t="shared" si="5"/>
        <v>-2046558.9272692367</v>
      </c>
      <c r="J53" s="39">
        <f t="shared" si="6"/>
        <v>-2210283.6414507758</v>
      </c>
    </row>
    <row r="54" spans="6:10" x14ac:dyDescent="0.2">
      <c r="F54" s="35">
        <v>81</v>
      </c>
      <c r="G54" s="39">
        <f t="shared" si="7"/>
        <v>-2210283.6414507758</v>
      </c>
      <c r="H54" s="46">
        <v>-100000</v>
      </c>
      <c r="I54" s="39">
        <f t="shared" si="5"/>
        <v>-2310283.6414507758</v>
      </c>
      <c r="J54" s="39">
        <f t="shared" si="6"/>
        <v>-2495106.3327668379</v>
      </c>
    </row>
    <row r="55" spans="6:10" x14ac:dyDescent="0.2">
      <c r="F55" s="35">
        <v>82</v>
      </c>
      <c r="G55" s="39">
        <f t="shared" si="7"/>
        <v>-2495106.3327668379</v>
      </c>
      <c r="H55" s="46">
        <v>-100000</v>
      </c>
      <c r="I55" s="39">
        <f t="shared" si="5"/>
        <v>-2595106.3327668379</v>
      </c>
      <c r="J55" s="39">
        <f t="shared" si="6"/>
        <v>-2802714.8393881852</v>
      </c>
    </row>
    <row r="56" spans="6:10" x14ac:dyDescent="0.2">
      <c r="F56" s="35">
        <v>83</v>
      </c>
      <c r="G56" s="39">
        <f t="shared" si="7"/>
        <v>-2802714.8393881852</v>
      </c>
      <c r="H56" s="46">
        <v>-100000</v>
      </c>
      <c r="I56" s="39">
        <f t="shared" si="5"/>
        <v>-2902714.8393881852</v>
      </c>
      <c r="J56" s="39">
        <f t="shared" si="6"/>
        <v>-3134932.02653924</v>
      </c>
    </row>
    <row r="57" spans="6:10" x14ac:dyDescent="0.2">
      <c r="F57" s="35">
        <v>84</v>
      </c>
      <c r="G57" s="39">
        <f t="shared" si="7"/>
        <v>-3134932.02653924</v>
      </c>
      <c r="H57" s="46">
        <v>-100000</v>
      </c>
      <c r="I57" s="39">
        <f t="shared" si="5"/>
        <v>-3234932.02653924</v>
      </c>
      <c r="J57" s="39">
        <f t="shared" si="6"/>
        <v>-3493726.5886623794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C7"/>
  <sheetViews>
    <sheetView workbookViewId="0">
      <selection activeCell="E9" sqref="E9"/>
    </sheetView>
  </sheetViews>
  <sheetFormatPr defaultColWidth="8.85546875" defaultRowHeight="12.75" x14ac:dyDescent="0.2"/>
  <cols>
    <col min="1" max="1" width="17.42578125" style="29" customWidth="1"/>
    <col min="2" max="2" width="9.28515625" style="29" customWidth="1"/>
    <col min="3" max="3" width="22" style="29" customWidth="1"/>
    <col min="4" max="16384" width="8.85546875" style="29"/>
  </cols>
  <sheetData>
    <row r="1" spans="1:3" ht="18" x14ac:dyDescent="0.25">
      <c r="A1" s="59" t="s">
        <v>89</v>
      </c>
      <c r="B1" s="59"/>
      <c r="C1" s="59"/>
    </row>
    <row r="2" spans="1:3" x14ac:dyDescent="0.2">
      <c r="A2" s="29" t="s">
        <v>88</v>
      </c>
      <c r="B2" s="29">
        <f>100*1.06^10</f>
        <v>179.08476965428545</v>
      </c>
      <c r="C2" s="29" t="str">
        <f ca="1">getformula(B2)</f>
        <v>&lt;-- =100*1.06^10</v>
      </c>
    </row>
    <row r="3" spans="1:3" x14ac:dyDescent="0.2">
      <c r="A3" s="29" t="s">
        <v>87</v>
      </c>
      <c r="B3" s="29">
        <f>1/1.06</f>
        <v>0.94339622641509424</v>
      </c>
      <c r="C3" s="29" t="str">
        <f ca="1">getformula(B3)</f>
        <v>&lt;-- =1/1.06</v>
      </c>
    </row>
    <row r="4" spans="1:3" x14ac:dyDescent="0.2">
      <c r="A4" s="29" t="s">
        <v>86</v>
      </c>
      <c r="B4" s="29">
        <v>10</v>
      </c>
    </row>
    <row r="6" spans="1:3" x14ac:dyDescent="0.2">
      <c r="A6" s="29" t="s">
        <v>85</v>
      </c>
      <c r="B6" s="39">
        <f>B2*(1-B3^B4)/(1-B3)</f>
        <v>1397.1642638923752</v>
      </c>
      <c r="C6" s="29" t="str">
        <f ca="1">getformula(B6)</f>
        <v>&lt;-- =B2*(1-B3^B4)/(1-B3)</v>
      </c>
    </row>
    <row r="7" spans="1:3" x14ac:dyDescent="0.2">
      <c r="A7" s="29" t="s">
        <v>84</v>
      </c>
      <c r="B7" s="39">
        <f>FV(6%,B4,-100,,1)</f>
        <v>1397.1642638923765</v>
      </c>
      <c r="C7" s="29" t="str">
        <f ca="1">getformula(B7)</f>
        <v>&lt;-- =FV(6%,B4,-100,,1)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7"/>
  <sheetViews>
    <sheetView workbookViewId="0">
      <selection sqref="A1:E1"/>
    </sheetView>
  </sheetViews>
  <sheetFormatPr defaultColWidth="19.28515625" defaultRowHeight="12.75" x14ac:dyDescent="0.2"/>
  <cols>
    <col min="1" max="1" width="19.28515625" style="29" customWidth="1"/>
    <col min="2" max="2" width="14.7109375" style="29" customWidth="1"/>
    <col min="3" max="3" width="22" style="29" customWidth="1"/>
    <col min="4" max="16384" width="19.28515625" style="29"/>
  </cols>
  <sheetData>
    <row r="1" spans="1:3" ht="18" x14ac:dyDescent="0.25">
      <c r="A1" s="59" t="s">
        <v>90</v>
      </c>
      <c r="B1" s="59"/>
      <c r="C1" s="59"/>
    </row>
    <row r="2" spans="1:3" x14ac:dyDescent="0.2">
      <c r="A2" s="29" t="s">
        <v>88</v>
      </c>
      <c r="B2" s="54">
        <f>150/1.06</f>
        <v>141.50943396226415</v>
      </c>
      <c r="C2" s="29" t="str">
        <f ca="1">getformula(B2)</f>
        <v>&lt;-- =150/1.06</v>
      </c>
    </row>
    <row r="3" spans="1:3" x14ac:dyDescent="0.2">
      <c r="A3" s="29" t="s">
        <v>87</v>
      </c>
      <c r="B3" s="54">
        <f>1/1.06</f>
        <v>0.94339622641509424</v>
      </c>
      <c r="C3" s="29" t="str">
        <f ca="1">getformula(B3)</f>
        <v>&lt;-- =1/1.06</v>
      </c>
    </row>
    <row r="4" spans="1:3" x14ac:dyDescent="0.2">
      <c r="A4" s="29" t="s">
        <v>86</v>
      </c>
      <c r="B4" s="29">
        <v>5</v>
      </c>
    </row>
    <row r="6" spans="1:3" x14ac:dyDescent="0.2">
      <c r="A6" s="29" t="s">
        <v>85</v>
      </c>
      <c r="B6" s="39">
        <f>B2*(1-B3^B4)/(1-B3)</f>
        <v>631.85456783485699</v>
      </c>
      <c r="C6" s="29" t="str">
        <f ca="1">getformula(B6)</f>
        <v>&lt;-- =B2*(1-B3^B4)/(1-B3)</v>
      </c>
    </row>
    <row r="7" spans="1:3" x14ac:dyDescent="0.2">
      <c r="A7" s="29" t="s">
        <v>84</v>
      </c>
      <c r="B7" s="39">
        <f>PV(6%,5,-150)</f>
        <v>631.85456783485779</v>
      </c>
      <c r="C7" s="29" t="str">
        <f ca="1">getformula(B7)</f>
        <v>&lt;-- =PV(6%,5,-150)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15"/>
  <sheetViews>
    <sheetView workbookViewId="0">
      <selection sqref="A1:E1"/>
    </sheetView>
  </sheetViews>
  <sheetFormatPr defaultColWidth="8.85546875" defaultRowHeight="12.75" x14ac:dyDescent="0.2"/>
  <cols>
    <col min="1" max="1" width="17.42578125" style="29" customWidth="1"/>
    <col min="2" max="2" width="8.85546875" style="29"/>
    <col min="3" max="3" width="24.85546875" style="29" customWidth="1"/>
    <col min="4" max="16384" width="8.85546875" style="29"/>
  </cols>
  <sheetData>
    <row r="1" spans="1:3" ht="18" x14ac:dyDescent="0.25">
      <c r="A1" s="59" t="s">
        <v>92</v>
      </c>
      <c r="B1" s="59"/>
      <c r="C1" s="59"/>
    </row>
    <row r="2" spans="1:3" x14ac:dyDescent="0.2">
      <c r="A2" s="29" t="s">
        <v>88</v>
      </c>
      <c r="B2" s="54">
        <f>150/1.06</f>
        <v>141.50943396226415</v>
      </c>
      <c r="C2" s="29" t="str">
        <f ca="1">getformula(B2)</f>
        <v>&lt;-- =150/1.06</v>
      </c>
    </row>
    <row r="3" spans="1:3" x14ac:dyDescent="0.2">
      <c r="A3" s="29" t="s">
        <v>87</v>
      </c>
      <c r="B3" s="54">
        <f>1.1/1.06</f>
        <v>1.0377358490566038</v>
      </c>
      <c r="C3" s="29" t="str">
        <f ca="1">getformula(B3)</f>
        <v>&lt;-- =1.1/1.06</v>
      </c>
    </row>
    <row r="4" spans="1:3" x14ac:dyDescent="0.2">
      <c r="A4" s="29" t="s">
        <v>86</v>
      </c>
      <c r="B4" s="29">
        <v>5</v>
      </c>
    </row>
    <row r="6" spans="1:3" x14ac:dyDescent="0.2">
      <c r="A6" s="52" t="s">
        <v>85</v>
      </c>
      <c r="B6" s="55">
        <f>B2*(1-B3^B4)/(1-B3)</f>
        <v>763.0003499344275</v>
      </c>
      <c r="C6" s="29" t="str">
        <f ca="1">getformula(B6)</f>
        <v>&lt;-- =B2*(1-B3^B4)/(1-B3)</v>
      </c>
    </row>
    <row r="8" spans="1:3" x14ac:dyDescent="0.2">
      <c r="A8" s="33" t="s">
        <v>3</v>
      </c>
      <c r="B8" s="34" t="s">
        <v>91</v>
      </c>
    </row>
    <row r="9" spans="1:3" x14ac:dyDescent="0.2">
      <c r="A9" s="35">
        <v>1</v>
      </c>
      <c r="B9" s="36">
        <v>150</v>
      </c>
    </row>
    <row r="10" spans="1:3" x14ac:dyDescent="0.2">
      <c r="A10" s="35">
        <v>2</v>
      </c>
      <c r="B10" s="36">
        <f>B9*1.1</f>
        <v>165</v>
      </c>
      <c r="C10" s="29" t="str">
        <f ca="1">getformula(B10)</f>
        <v>&lt;-- =B9*1.1</v>
      </c>
    </row>
    <row r="11" spans="1:3" x14ac:dyDescent="0.2">
      <c r="A11" s="35">
        <v>3</v>
      </c>
      <c r="B11" s="36">
        <f>B10*1.1</f>
        <v>181.50000000000003</v>
      </c>
      <c r="C11" s="29" t="str">
        <f ca="1">getformula(B11)</f>
        <v>&lt;-- =B10*1.1</v>
      </c>
    </row>
    <row r="12" spans="1:3" x14ac:dyDescent="0.2">
      <c r="A12" s="35">
        <v>4</v>
      </c>
      <c r="B12" s="36">
        <f>B11*1.1</f>
        <v>199.65000000000003</v>
      </c>
    </row>
    <row r="13" spans="1:3" x14ac:dyDescent="0.2">
      <c r="A13" s="35">
        <v>5</v>
      </c>
      <c r="B13" s="36">
        <f>B12*1.1</f>
        <v>219.61500000000007</v>
      </c>
    </row>
    <row r="15" spans="1:3" x14ac:dyDescent="0.2">
      <c r="A15" s="52" t="s">
        <v>29</v>
      </c>
      <c r="B15" s="38">
        <f>NPV(6%,B9:B13)</f>
        <v>763.00034993442637</v>
      </c>
      <c r="C15" s="29" t="str">
        <f ca="1">getformula(B15)</f>
        <v>&lt;-- =NPV(6%,B9:B13)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Index</vt:lpstr>
      <vt:lpstr>Page 20</vt:lpstr>
      <vt:lpstr>Page 21</vt:lpstr>
      <vt:lpstr>Page 22</vt:lpstr>
      <vt:lpstr>Page 23</vt:lpstr>
      <vt:lpstr>Page 26</vt:lpstr>
      <vt:lpstr>Page 31</vt:lpstr>
      <vt:lpstr>Page 32</vt:lpstr>
      <vt:lpstr>Page 33</vt:lpstr>
      <vt:lpstr>Page 34</vt:lpstr>
      <vt:lpstr>Page 37</vt:lpstr>
      <vt:lpstr>Page 39</vt:lpstr>
      <vt:lpstr>Page 40</vt:lpstr>
      <vt:lpstr>Page 41</vt:lpstr>
      <vt:lpstr>Page 42</vt:lpstr>
      <vt:lpstr>Page 43</vt:lpstr>
      <vt:lpstr>Page 44</vt:lpstr>
      <vt:lpstr>Page 44 bottom</vt:lpstr>
      <vt:lpstr>Page 45</vt:lpstr>
      <vt:lpstr>Page 45 bottom</vt:lpstr>
      <vt:lpstr>Appendix, page 55</vt:lpstr>
      <vt:lpstr>Appendix, page 56</vt:lpstr>
      <vt:lpstr>Appendix, page 57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2017-08-02T15:02:43Z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Chapter02 - time value of money (1).xlsm</vt:lpwstr>
  </property>
</Properties>
</file>