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21656B06-1B9B-AA78-C99D-37B55691406E}"/>
  <workbookPr codeName="ThisWorkbook" defaultThemeVersion="124226"/>
  <bookViews>
    <workbookView xWindow="285" yWindow="0" windowWidth="4020" windowHeight="1170"/>
  </bookViews>
  <sheets>
    <sheet name="Index" sheetId="80" r:id="rId1"/>
    <sheet name="Page 246" sheetId="58" r:id="rId2"/>
    <sheet name="Page 250" sheetId="63" r:id="rId3"/>
    <sheet name="Page 251" sheetId="64" r:id="rId4"/>
    <sheet name="Page 252" sheetId="65" r:id="rId5"/>
    <sheet name="Page 254" sheetId="66" r:id="rId6"/>
    <sheet name="Page 255" sheetId="68" r:id="rId7"/>
    <sheet name="Page 256" sheetId="69" r:id="rId8"/>
    <sheet name="Page 258" sheetId="75" r:id="rId9"/>
    <sheet name="Page 260+262" sheetId="76" r:id="rId10"/>
    <sheet name="Page 263" sheetId="79" r:id="rId11"/>
    <sheet name="Page 264" sheetId="78" r:id="rId12"/>
  </sheets>
  <definedNames>
    <definedName name="HTML_CodePage" hidden="1">1252</definedName>
    <definedName name="HTML_Control" localSheetId="10" hidden="1">{"'Sheet1'!$A$1:$G$85"}</definedName>
    <definedName name="HTML_Control" localSheetId="11" hidden="1">{"'Sheet1'!$A$1:$G$85"}</definedName>
    <definedName name="HTML_Control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</definedNames>
  <calcPr calcId="144525"/>
</workbook>
</file>

<file path=xl/calcChain.xml><?xml version="1.0" encoding="utf-8"?>
<calcChain xmlns="http://schemas.openxmlformats.org/spreadsheetml/2006/main">
  <c r="B23" i="78" l="1"/>
  <c r="B22" i="78"/>
  <c r="B21" i="78"/>
  <c r="D16" i="79"/>
  <c r="C16" i="79"/>
  <c r="B16" i="79"/>
  <c r="D15" i="79"/>
  <c r="C15" i="79"/>
  <c r="B15" i="79"/>
  <c r="D18" i="78"/>
  <c r="C18" i="78"/>
  <c r="B18" i="78"/>
  <c r="D17" i="78"/>
  <c r="C17" i="78"/>
  <c r="B17" i="78"/>
  <c r="B21" i="79"/>
  <c r="B20" i="79"/>
  <c r="B19" i="79"/>
  <c r="B13" i="80"/>
  <c r="B8" i="80"/>
  <c r="B5" i="80"/>
  <c r="B10" i="80"/>
  <c r="B4" i="80"/>
  <c r="B9" i="80"/>
  <c r="B7" i="80"/>
  <c r="B11" i="80"/>
  <c r="B12" i="80"/>
  <c r="B6" i="80"/>
  <c r="B3" i="80"/>
  <c r="E15" i="79"/>
  <c r="E16" i="78"/>
  <c r="E17" i="78"/>
  <c r="E18" i="78"/>
  <c r="E16" i="79"/>
  <c r="E14" i="79"/>
  <c r="D14" i="79" l="1"/>
  <c r="C14" i="79"/>
  <c r="B14" i="79"/>
  <c r="D16" i="78"/>
  <c r="C16" i="78"/>
  <c r="B16" i="78"/>
  <c r="D2" i="78"/>
  <c r="E12" i="78" s="1"/>
  <c r="F26" i="78"/>
  <c r="C21" i="78"/>
  <c r="F29" i="78"/>
  <c r="F32" i="78"/>
  <c r="F30" i="78"/>
  <c r="F33" i="78"/>
  <c r="C19" i="79"/>
  <c r="C23" i="78"/>
  <c r="C21" i="79"/>
  <c r="F6" i="78"/>
  <c r="F5" i="78"/>
  <c r="C20" i="79"/>
  <c r="F27" i="78"/>
  <c r="C22" i="78"/>
  <c r="E9" i="78" l="1"/>
  <c r="E10" i="78"/>
  <c r="E13" i="78"/>
  <c r="E26" i="78"/>
  <c r="E6" i="78"/>
  <c r="E14" i="78"/>
  <c r="E29" i="78"/>
  <c r="E32" i="78" s="1"/>
  <c r="E5" i="78"/>
  <c r="E7" i="78"/>
  <c r="E11" i="78"/>
  <c r="E8" i="78"/>
  <c r="E33" i="78" l="1"/>
  <c r="E30" i="78"/>
  <c r="E27" i="78"/>
  <c r="F28" i="76"/>
  <c r="E28" i="76"/>
  <c r="F27" i="76"/>
  <c r="E27" i="76"/>
  <c r="F26" i="76"/>
  <c r="E26" i="76"/>
  <c r="F25" i="76"/>
  <c r="E25" i="76"/>
  <c r="F24" i="76"/>
  <c r="E24" i="76"/>
  <c r="F23" i="76"/>
  <c r="E23" i="76"/>
  <c r="F22" i="76"/>
  <c r="E22" i="76"/>
  <c r="F21" i="76"/>
  <c r="E21" i="76"/>
  <c r="F20" i="76"/>
  <c r="E20" i="76"/>
  <c r="F19" i="76"/>
  <c r="E19" i="76"/>
  <c r="F18" i="76"/>
  <c r="E18" i="76"/>
  <c r="F17" i="76"/>
  <c r="E17" i="76"/>
  <c r="F16" i="76"/>
  <c r="E16" i="76"/>
  <c r="F15" i="76"/>
  <c r="E15" i="76"/>
  <c r="F14" i="76"/>
  <c r="E14" i="76"/>
  <c r="F13" i="76"/>
  <c r="E13" i="76"/>
  <c r="F12" i="76"/>
  <c r="E12" i="76"/>
  <c r="F11" i="76"/>
  <c r="E11" i="76"/>
  <c r="F10" i="76"/>
  <c r="E10" i="76"/>
  <c r="F9" i="76"/>
  <c r="E9" i="76"/>
  <c r="F8" i="76"/>
  <c r="E8" i="76"/>
  <c r="F7" i="76"/>
  <c r="E7" i="76"/>
  <c r="F6" i="76"/>
  <c r="E6" i="76"/>
  <c r="F5" i="76"/>
  <c r="E5" i="76"/>
  <c r="G31" i="76"/>
  <c r="G5" i="76"/>
  <c r="G34" i="76"/>
  <c r="G36" i="76"/>
  <c r="G6" i="76"/>
  <c r="G30" i="76"/>
  <c r="G37" i="76"/>
  <c r="G33" i="76"/>
  <c r="F37" i="76" l="1"/>
  <c r="F31" i="76"/>
  <c r="F30" i="76"/>
  <c r="F34" i="76" s="1"/>
  <c r="F33" i="76"/>
  <c r="F36" i="76"/>
  <c r="F28" i="75"/>
  <c r="E28" i="75"/>
  <c r="F27" i="75"/>
  <c r="E27" i="75"/>
  <c r="F26" i="75"/>
  <c r="E26" i="75"/>
  <c r="F25" i="75"/>
  <c r="E25" i="75"/>
  <c r="F24" i="75"/>
  <c r="E24" i="75"/>
  <c r="F23" i="75"/>
  <c r="E23" i="75"/>
  <c r="F22" i="75"/>
  <c r="E22" i="75"/>
  <c r="F21" i="75"/>
  <c r="E21" i="75"/>
  <c r="F20" i="75"/>
  <c r="E20" i="75"/>
  <c r="F19" i="75"/>
  <c r="E19" i="75"/>
  <c r="F18" i="75"/>
  <c r="E18" i="75"/>
  <c r="F17" i="75"/>
  <c r="E17" i="75"/>
  <c r="F16" i="75"/>
  <c r="E16" i="75"/>
  <c r="F15" i="75"/>
  <c r="E15" i="75"/>
  <c r="F14" i="75"/>
  <c r="E14" i="75"/>
  <c r="F13" i="75"/>
  <c r="E13" i="75"/>
  <c r="F12" i="75"/>
  <c r="E12" i="75"/>
  <c r="F11" i="75"/>
  <c r="E11" i="75"/>
  <c r="F10" i="75"/>
  <c r="E10" i="75"/>
  <c r="F9" i="75"/>
  <c r="E9" i="75"/>
  <c r="F8" i="75"/>
  <c r="E8" i="75"/>
  <c r="F7" i="75"/>
  <c r="E7" i="75"/>
  <c r="E6" i="75"/>
  <c r="F6" i="75"/>
  <c r="F5" i="75"/>
  <c r="E5" i="75"/>
  <c r="C17" i="64"/>
  <c r="G5" i="75"/>
  <c r="G31" i="75"/>
  <c r="G37" i="75"/>
  <c r="G6" i="75"/>
  <c r="G36" i="75"/>
  <c r="G33" i="75"/>
  <c r="G30" i="75"/>
  <c r="C19" i="64"/>
  <c r="C18" i="64"/>
  <c r="G34" i="75"/>
  <c r="F33" i="75" l="1"/>
  <c r="F37" i="75"/>
  <c r="F31" i="75"/>
  <c r="F36" i="75"/>
  <c r="F30" i="75"/>
  <c r="F34" i="75" s="1"/>
  <c r="E6" i="68"/>
  <c r="A10" i="69" l="1"/>
  <c r="A11" i="69" s="1"/>
  <c r="A12" i="69" s="1"/>
  <c r="A24" i="69"/>
  <c r="C21" i="69"/>
  <c r="E24" i="69"/>
  <c r="A13" i="69" l="1"/>
  <c r="A14" i="69" l="1"/>
  <c r="A15" i="69" l="1"/>
  <c r="A16" i="69" l="1"/>
  <c r="A17" i="69" l="1"/>
  <c r="A18" i="69" l="1"/>
  <c r="A19" i="69" l="1"/>
  <c r="B3" i="68" l="1"/>
  <c r="A4" i="66"/>
  <c r="A5" i="66" s="1"/>
  <c r="A6" i="66" s="1"/>
  <c r="A7" i="66" s="1"/>
  <c r="A8" i="66" s="1"/>
  <c r="A9" i="66" s="1"/>
  <c r="A10" i="66" s="1"/>
  <c r="A11" i="66" s="1"/>
  <c r="A12" i="66" s="1"/>
  <c r="C12" i="66"/>
  <c r="C11" i="66"/>
  <c r="C10" i="66"/>
  <c r="C9" i="66"/>
  <c r="C8" i="66"/>
  <c r="C7" i="66"/>
  <c r="C6" i="66"/>
  <c r="C5" i="66"/>
  <c r="C4" i="66"/>
  <c r="C14" i="66" s="1"/>
  <c r="C3" i="66"/>
  <c r="C21" i="68"/>
  <c r="C3" i="68"/>
  <c r="C22" i="68"/>
  <c r="E18" i="68"/>
  <c r="D15" i="64"/>
  <c r="E4" i="58"/>
  <c r="C26" i="68"/>
  <c r="D16" i="64"/>
  <c r="D3" i="66"/>
  <c r="D17" i="65"/>
  <c r="C25" i="68"/>
  <c r="D14" i="66"/>
  <c r="E17" i="68"/>
  <c r="D14" i="65"/>
  <c r="C27" i="68"/>
  <c r="D16" i="65"/>
  <c r="D18" i="65"/>
  <c r="D14" i="64"/>
  <c r="E19" i="68"/>
  <c r="D15" i="65"/>
  <c r="D19" i="65"/>
  <c r="C6" i="63" l="1"/>
  <c r="C12" i="63"/>
  <c r="C4" i="63"/>
  <c r="C5" i="63"/>
  <c r="C7" i="63"/>
  <c r="C8" i="63"/>
  <c r="C9" i="63"/>
  <c r="C11" i="63"/>
  <c r="C13" i="63"/>
  <c r="D17" i="63"/>
  <c r="D16" i="63"/>
  <c r="D4" i="63"/>
  <c r="D15" i="63"/>
  <c r="C11" i="68" l="1"/>
  <c r="C8" i="65"/>
  <c r="C8" i="64"/>
  <c r="C10" i="68"/>
  <c r="C7" i="65"/>
  <c r="C7" i="64"/>
  <c r="C15" i="68"/>
  <c r="C12" i="65"/>
  <c r="C12" i="64"/>
  <c r="C7" i="68"/>
  <c r="C4" i="65"/>
  <c r="C4" i="64"/>
  <c r="C6" i="68"/>
  <c r="C3" i="65"/>
  <c r="C3" i="64"/>
  <c r="C13" i="68"/>
  <c r="C10" i="65"/>
  <c r="C10" i="64"/>
  <c r="C9" i="68"/>
  <c r="C6" i="65"/>
  <c r="C6" i="64"/>
  <c r="C8" i="68"/>
  <c r="C5" i="65"/>
  <c r="C5" i="64"/>
  <c r="C14" i="68"/>
  <c r="C11" i="65"/>
  <c r="C11" i="64"/>
  <c r="C10" i="63"/>
  <c r="C17" i="63" s="1"/>
  <c r="E15" i="58"/>
  <c r="E17" i="58"/>
  <c r="E16" i="58"/>
  <c r="C16" i="63" l="1"/>
  <c r="C12" i="68"/>
  <c r="C9" i="65"/>
  <c r="C14" i="65" s="1"/>
  <c r="C9" i="64"/>
  <c r="C15" i="64" s="1"/>
  <c r="D11" i="58"/>
  <c r="D7" i="58"/>
  <c r="D10" i="58"/>
  <c r="D6" i="58"/>
  <c r="D13" i="58"/>
  <c r="D9" i="58"/>
  <c r="D5" i="58"/>
  <c r="D12" i="58"/>
  <c r="D8" i="58"/>
  <c r="D4" i="58"/>
  <c r="C15" i="63"/>
  <c r="C16" i="64" l="1"/>
  <c r="C18" i="68"/>
  <c r="C4" i="69" s="1"/>
  <c r="D16" i="58"/>
  <c r="D17" i="58"/>
  <c r="C19" i="68"/>
  <c r="C5" i="69" s="1"/>
  <c r="C14" i="64"/>
  <c r="C15" i="65"/>
  <c r="C17" i="68"/>
  <c r="C3" i="69" s="1"/>
  <c r="C16" i="65"/>
  <c r="B14" i="68"/>
  <c r="D14" i="68" s="1"/>
  <c r="B11" i="65"/>
  <c r="B11" i="64"/>
  <c r="B8" i="68"/>
  <c r="D8" i="68" s="1"/>
  <c r="B5" i="65"/>
  <c r="B5" i="64"/>
  <c r="B6" i="68"/>
  <c r="B3" i="65"/>
  <c r="B3" i="64"/>
  <c r="B9" i="68"/>
  <c r="D9" i="68" s="1"/>
  <c r="B6" i="65"/>
  <c r="B6" i="64"/>
  <c r="B7" i="68"/>
  <c r="D7" i="68" s="1"/>
  <c r="B4" i="65"/>
  <c r="B4" i="64"/>
  <c r="B12" i="68"/>
  <c r="D12" i="68" s="1"/>
  <c r="B9" i="65"/>
  <c r="B9" i="64"/>
  <c r="B11" i="68"/>
  <c r="D11" i="68" s="1"/>
  <c r="B8" i="65"/>
  <c r="B8" i="64"/>
  <c r="B10" i="68"/>
  <c r="D10" i="68" s="1"/>
  <c r="B7" i="65"/>
  <c r="B7" i="64"/>
  <c r="B15" i="68"/>
  <c r="D15" i="68" s="1"/>
  <c r="B12" i="65"/>
  <c r="B12" i="64"/>
  <c r="B13" i="68"/>
  <c r="D13" i="68" s="1"/>
  <c r="B10" i="65"/>
  <c r="B10" i="64"/>
  <c r="D15" i="58"/>
  <c r="B17" i="65" l="1"/>
  <c r="B17" i="64"/>
  <c r="B15" i="64"/>
  <c r="B16" i="64"/>
  <c r="B19" i="64" s="1"/>
  <c r="B19" i="68"/>
  <c r="B21" i="68"/>
  <c r="B18" i="68"/>
  <c r="B18" i="64"/>
  <c r="B14" i="64"/>
  <c r="B16" i="65"/>
  <c r="B14" i="65"/>
  <c r="B15" i="65"/>
  <c r="B19" i="65"/>
  <c r="B18" i="65"/>
  <c r="D6" i="68"/>
  <c r="B5" i="69"/>
  <c r="B22" i="68"/>
  <c r="B17" i="68"/>
  <c r="C6" i="69"/>
  <c r="D19" i="68" l="1"/>
  <c r="D18" i="68"/>
  <c r="B4" i="69"/>
  <c r="B26" i="68"/>
  <c r="B27" i="68" s="1"/>
  <c r="D17" i="68"/>
  <c r="B3" i="69"/>
  <c r="B25" i="68"/>
  <c r="B12" i="69" l="1"/>
  <c r="C12" i="69" s="1"/>
  <c r="B11" i="69"/>
  <c r="C11" i="69" s="1"/>
  <c r="B10" i="69"/>
  <c r="C10" i="69" s="1"/>
  <c r="B13" i="69"/>
  <c r="C13" i="69" s="1"/>
  <c r="B14" i="69"/>
  <c r="C14" i="69" s="1"/>
  <c r="B15" i="69"/>
  <c r="C15" i="69" s="1"/>
  <c r="B16" i="69"/>
  <c r="C16" i="69" s="1"/>
  <c r="B17" i="69"/>
  <c r="C17" i="69" s="1"/>
  <c r="B18" i="69"/>
  <c r="C18" i="69" s="1"/>
  <c r="B19" i="69"/>
  <c r="C19" i="69" s="1"/>
  <c r="D10" i="69"/>
  <c r="D13" i="69"/>
  <c r="D11" i="69"/>
  <c r="D12" i="69"/>
  <c r="D9" i="69"/>
  <c r="D14" i="69"/>
  <c r="D15" i="69"/>
  <c r="D16" i="69"/>
  <c r="D17" i="69"/>
  <c r="D18" i="69"/>
  <c r="D19" i="69"/>
  <c r="B9" i="69"/>
  <c r="C9" i="69" s="1"/>
</calcChain>
</file>

<file path=xl/sharedStrings.xml><?xml version="1.0" encoding="utf-8"?>
<sst xmlns="http://schemas.openxmlformats.org/spreadsheetml/2006/main" count="134" uniqueCount="91">
  <si>
    <t>Date</t>
  </si>
  <si>
    <t>Year</t>
  </si>
  <si>
    <t>Price</t>
  </si>
  <si>
    <t>Dividend</t>
  </si>
  <si>
    <t>Annual return</t>
  </si>
  <si>
    <t>PRICE AND DIVIDEND DATA FOR KELLOGG (K) 
2003-2013</t>
  </si>
  <si>
    <r>
      <t xml:space="preserve">EXXON (XOM) STOCK PRICES
</t>
    </r>
    <r>
      <rPr>
        <sz val="14"/>
        <rFont val="Arial"/>
        <family val="2"/>
      </rPr>
      <t>Adjusted for dividends and splits</t>
    </r>
  </si>
  <si>
    <t>KELLOGG (K) AND EXXON (XOM)
ANNUAL RETURN DATA</t>
  </si>
  <si>
    <t>Exxon</t>
  </si>
  <si>
    <t xml:space="preserve">Kellogg </t>
  </si>
  <si>
    <r>
      <t>Average return, E(r</t>
    </r>
    <r>
      <rPr>
        <vertAlign val="subscript"/>
        <sz val="8"/>
        <rFont val="Arial"/>
        <family val="2"/>
      </rPr>
      <t>i</t>
    </r>
    <r>
      <rPr>
        <sz val="10"/>
        <rFont val="Arial"/>
        <family val="2"/>
      </rPr>
      <t>)</t>
    </r>
  </si>
  <si>
    <r>
      <t>Variance of return, Var(r</t>
    </r>
    <r>
      <rPr>
        <vertAlign val="subscript"/>
        <sz val="10"/>
        <rFont val="Arial"/>
        <family val="2"/>
      </rPr>
      <t>i</t>
    </r>
    <r>
      <rPr>
        <sz val="10"/>
        <rFont val="Arial"/>
        <family val="2"/>
      </rPr>
      <t>)=</t>
    </r>
    <r>
      <rPr>
        <sz val="10"/>
        <rFont val="Calibri"/>
        <family val="2"/>
      </rPr>
      <t>σ</t>
    </r>
    <r>
      <rPr>
        <vertAlign val="superscript"/>
        <sz val="10"/>
        <rFont val="Arial"/>
        <family val="2"/>
      </rPr>
      <t>2</t>
    </r>
    <r>
      <rPr>
        <vertAlign val="subscript"/>
        <sz val="10"/>
        <rFont val="Arial"/>
        <family val="2"/>
      </rPr>
      <t>i</t>
    </r>
  </si>
  <si>
    <t>KELLOGG (K) AND EXXON (XOM) 
ANNUAL RETURN DATA 
PERCENTAGE PRESENTED AS WHOLE NUMBERS</t>
  </si>
  <si>
    <r>
      <t xml:space="preserve">CORRELATION +1
Adams Farm and Morgan Sausage Stocks
</t>
    </r>
    <r>
      <rPr>
        <sz val="12"/>
        <rFont val="Arial"/>
        <family val="2"/>
      </rPr>
      <t>r</t>
    </r>
    <r>
      <rPr>
        <vertAlign val="subscript"/>
        <sz val="12"/>
        <rFont val="Arial"/>
        <family val="2"/>
      </rPr>
      <t xml:space="preserve">Morgan Sausage,t </t>
    </r>
    <r>
      <rPr>
        <sz val="12"/>
        <rFont val="Arial"/>
        <family val="2"/>
      </rPr>
      <t>= 3% + 0.6*r</t>
    </r>
    <r>
      <rPr>
        <vertAlign val="subscript"/>
        <sz val="12"/>
        <rFont val="Arial"/>
        <family val="2"/>
      </rPr>
      <t>Adams Farm,t</t>
    </r>
  </si>
  <si>
    <t>Adams
Farm stock
return</t>
  </si>
  <si>
    <t>Morgan
Sausage stock
return</t>
  </si>
  <si>
    <t>Correlation</t>
  </si>
  <si>
    <t>Proportion of Kellogg</t>
  </si>
  <si>
    <t>Proportion of Exxon</t>
  </si>
  <si>
    <t>Portfolio return</t>
  </si>
  <si>
    <t>Direct calculation of portfolio mean and variance</t>
  </si>
  <si>
    <r>
      <t>Portfolio
mean
E(r</t>
    </r>
    <r>
      <rPr>
        <b/>
        <vertAlign val="subscript"/>
        <sz val="10"/>
        <rFont val="Arial"/>
        <family val="2"/>
      </rPr>
      <t>p</t>
    </r>
    <r>
      <rPr>
        <b/>
        <sz val="10"/>
        <rFont val="Arial"/>
        <family val="2"/>
      </rPr>
      <t>)</t>
    </r>
  </si>
  <si>
    <r>
      <t xml:space="preserve">Portfolio
standard
deviation
</t>
    </r>
    <r>
      <rPr>
        <b/>
        <sz val="10"/>
        <rFont val="Symbol"/>
        <family val="1"/>
        <charset val="2"/>
      </rPr>
      <t>s</t>
    </r>
    <r>
      <rPr>
        <b/>
        <vertAlign val="subscript"/>
        <sz val="10"/>
        <rFont val="Arial"/>
        <family val="2"/>
      </rPr>
      <t>p</t>
    </r>
  </si>
  <si>
    <r>
      <t>Portfolio
Variance
Var(r</t>
    </r>
    <r>
      <rPr>
        <b/>
        <vertAlign val="subscript"/>
        <sz val="10"/>
        <rFont val="Arial"/>
        <family val="2"/>
      </rPr>
      <t>p</t>
    </r>
    <r>
      <rPr>
        <b/>
        <sz val="10"/>
        <rFont val="Arial"/>
        <family val="2"/>
      </rPr>
      <t>)</t>
    </r>
  </si>
  <si>
    <t>Proportion of K
in portfolio</t>
  </si>
  <si>
    <t>Covariance</t>
  </si>
  <si>
    <t>Standard deviation</t>
  </si>
  <si>
    <t>Variance</t>
  </si>
  <si>
    <t>Mean</t>
  </si>
  <si>
    <t>Exxon
XOM</t>
  </si>
  <si>
    <t>Kellogg
K</t>
  </si>
  <si>
    <t>CALCULATING PORTFOLIO RETURNS 
AND THEIR STATISTICS FROM THE FORMULAS</t>
  </si>
  <si>
    <t>MONTHLY RETURNS ON S&amp;P 500 AND IBM
January 2012 - December 2013</t>
  </si>
  <si>
    <t>S&amp;P500</t>
  </si>
  <si>
    <t>IBM</t>
  </si>
  <si>
    <t>Price at beginning of month</t>
  </si>
  <si>
    <t>Return for the 
month</t>
  </si>
  <si>
    <t>Slope</t>
  </si>
  <si>
    <t>Intercept</t>
  </si>
  <si>
    <t>R-squared</t>
  </si>
  <si>
    <t>Year ending</t>
  </si>
  <si>
    <t>Boeing
BA</t>
  </si>
  <si>
    <t>Portfolio
return</t>
  </si>
  <si>
    <t>Portfolio
proportions</t>
  </si>
  <si>
    <t>Average</t>
  </si>
  <si>
    <t>Sigma</t>
  </si>
  <si>
    <t>Covariances</t>
  </si>
  <si>
    <r>
      <t>Cov(r</t>
    </r>
    <r>
      <rPr>
        <vertAlign val="subscript"/>
        <sz val="10"/>
        <rFont val="Arial"/>
        <family val="2"/>
      </rPr>
      <t>BA</t>
    </r>
    <r>
      <rPr>
        <sz val="10"/>
        <rFont val="Arial"/>
        <family val="2"/>
      </rPr>
      <t>,r</t>
    </r>
    <r>
      <rPr>
        <vertAlign val="subscript"/>
        <sz val="10"/>
        <rFont val="Arial"/>
        <family val="2"/>
      </rPr>
      <t>K</t>
    </r>
    <r>
      <rPr>
        <sz val="10"/>
        <rFont val="Arial"/>
        <family val="2"/>
      </rPr>
      <t>)</t>
    </r>
  </si>
  <si>
    <r>
      <t>Cov(r</t>
    </r>
    <r>
      <rPr>
        <vertAlign val="subscript"/>
        <sz val="10"/>
        <rFont val="Arial"/>
        <family val="2"/>
      </rPr>
      <t>BA</t>
    </r>
    <r>
      <rPr>
        <sz val="10"/>
        <rFont val="Arial"/>
        <family val="2"/>
      </rPr>
      <t>,r</t>
    </r>
    <r>
      <rPr>
        <vertAlign val="subscript"/>
        <sz val="10"/>
        <rFont val="Arial"/>
        <family val="2"/>
      </rPr>
      <t>IBM</t>
    </r>
    <r>
      <rPr>
        <sz val="10"/>
        <rFont val="Arial"/>
        <family val="2"/>
      </rPr>
      <t>)</t>
    </r>
  </si>
  <si>
    <r>
      <t>Cov(r</t>
    </r>
    <r>
      <rPr>
        <vertAlign val="subscript"/>
        <sz val="10"/>
        <rFont val="Arial"/>
        <family val="2"/>
      </rPr>
      <t>K</t>
    </r>
    <r>
      <rPr>
        <sz val="10"/>
        <rFont val="Arial"/>
        <family val="2"/>
      </rPr>
      <t>,r</t>
    </r>
    <r>
      <rPr>
        <vertAlign val="subscript"/>
        <sz val="10"/>
        <rFont val="Arial"/>
        <family val="2"/>
      </rPr>
      <t>IBM</t>
    </r>
    <r>
      <rPr>
        <sz val="10"/>
        <rFont val="Arial"/>
        <family val="2"/>
      </rPr>
      <t>)</t>
    </r>
  </si>
  <si>
    <r>
      <t>Variance of return, Var(r</t>
    </r>
    <r>
      <rPr>
        <vertAlign val="subscript"/>
        <sz val="11"/>
        <rFont val="Arial"/>
        <family val="2"/>
      </rPr>
      <t>K</t>
    </r>
    <r>
      <rPr>
        <sz val="11"/>
        <rFont val="Arial"/>
        <family val="2"/>
      </rPr>
      <t>)=</t>
    </r>
    <r>
      <rPr>
        <sz val="11"/>
        <rFont val="Calibri"/>
        <family val="2"/>
      </rPr>
      <t>σ</t>
    </r>
    <r>
      <rPr>
        <vertAlign val="superscript"/>
        <sz val="11"/>
        <rFont val="Arial"/>
        <family val="2"/>
      </rPr>
      <t>2</t>
    </r>
    <r>
      <rPr>
        <vertAlign val="subscript"/>
        <sz val="11"/>
        <rFont val="Arial"/>
        <family val="2"/>
      </rPr>
      <t>K</t>
    </r>
  </si>
  <si>
    <r>
      <t>Average return, E(r</t>
    </r>
    <r>
      <rPr>
        <vertAlign val="subscript"/>
        <sz val="11"/>
        <rFont val="Arial"/>
        <family val="2"/>
      </rPr>
      <t>XOM</t>
    </r>
    <r>
      <rPr>
        <sz val="11"/>
        <rFont val="Arial"/>
        <family val="2"/>
      </rPr>
      <t>)</t>
    </r>
  </si>
  <si>
    <r>
      <rPr>
        <sz val="11"/>
        <rFont val="Calibri"/>
        <family val="2"/>
      </rPr>
      <t>Standard deviation of return, σ</t>
    </r>
    <r>
      <rPr>
        <vertAlign val="subscript"/>
        <sz val="11"/>
        <rFont val="Arial"/>
        <family val="2"/>
      </rPr>
      <t>XOM</t>
    </r>
  </si>
  <si>
    <r>
      <t>Variance of return, Var(r</t>
    </r>
    <r>
      <rPr>
        <vertAlign val="subscript"/>
        <sz val="11"/>
        <rFont val="Arial"/>
        <family val="2"/>
      </rPr>
      <t>XOM</t>
    </r>
    <r>
      <rPr>
        <sz val="11"/>
        <rFont val="Arial"/>
        <family val="2"/>
      </rPr>
      <t xml:space="preserve">) = </t>
    </r>
    <r>
      <rPr>
        <sz val="11"/>
        <rFont val="Calibri"/>
        <family val="2"/>
      </rPr>
      <t>σ</t>
    </r>
    <r>
      <rPr>
        <vertAlign val="superscript"/>
        <sz val="11"/>
        <rFont val="Arial"/>
        <family val="2"/>
      </rPr>
      <t>2</t>
    </r>
    <r>
      <rPr>
        <vertAlign val="subscript"/>
        <sz val="11"/>
        <rFont val="Arial"/>
        <family val="2"/>
      </rPr>
      <t>XOM</t>
    </r>
  </si>
  <si>
    <t xml:space="preserve"> </t>
  </si>
  <si>
    <r>
      <t>Average return, E(r</t>
    </r>
    <r>
      <rPr>
        <vertAlign val="subscript"/>
        <sz val="11"/>
        <rFont val="Arial"/>
        <family val="2"/>
      </rPr>
      <t>i</t>
    </r>
    <r>
      <rPr>
        <sz val="11"/>
        <rFont val="Arial"/>
        <family val="2"/>
      </rPr>
      <t>)</t>
    </r>
  </si>
  <si>
    <r>
      <t>Variance of return, Var(r</t>
    </r>
    <r>
      <rPr>
        <vertAlign val="subscript"/>
        <sz val="11"/>
        <rFont val="Arial"/>
        <family val="2"/>
      </rPr>
      <t>i</t>
    </r>
    <r>
      <rPr>
        <sz val="11"/>
        <rFont val="Arial"/>
        <family val="2"/>
      </rPr>
      <t>)=</t>
    </r>
    <r>
      <rPr>
        <sz val="11"/>
        <rFont val="Calibri"/>
        <family val="2"/>
      </rPr>
      <t>σ</t>
    </r>
    <r>
      <rPr>
        <vertAlign val="superscript"/>
        <sz val="11"/>
        <rFont val="Arial"/>
        <family val="2"/>
      </rPr>
      <t>2</t>
    </r>
    <r>
      <rPr>
        <vertAlign val="subscript"/>
        <sz val="11"/>
        <rFont val="Arial"/>
        <family val="2"/>
      </rPr>
      <t>i</t>
    </r>
  </si>
  <si>
    <r>
      <rPr>
        <sz val="11"/>
        <rFont val="Calibri"/>
        <family val="2"/>
      </rPr>
      <t>Standard deviation of return, σ</t>
    </r>
    <r>
      <rPr>
        <vertAlign val="subscript"/>
        <sz val="11"/>
        <rFont val="Arial"/>
        <family val="2"/>
      </rPr>
      <t>i</t>
    </r>
  </si>
  <si>
    <r>
      <t>Covariance of returns, Cov(r</t>
    </r>
    <r>
      <rPr>
        <vertAlign val="subscript"/>
        <sz val="11"/>
        <rFont val="Arial"/>
        <family val="2"/>
      </rPr>
      <t>k</t>
    </r>
    <r>
      <rPr>
        <sz val="11"/>
        <rFont val="Arial"/>
        <family val="2"/>
      </rPr>
      <t>,r</t>
    </r>
    <r>
      <rPr>
        <vertAlign val="subscript"/>
        <sz val="11"/>
        <rFont val="Arial"/>
        <family val="2"/>
      </rPr>
      <t>xom</t>
    </r>
    <r>
      <rPr>
        <sz val="11"/>
        <rFont val="Arial"/>
        <family val="2"/>
      </rPr>
      <t>)</t>
    </r>
  </si>
  <si>
    <r>
      <t xml:space="preserve">Correlation of returns, </t>
    </r>
    <r>
      <rPr>
        <sz val="11"/>
        <rFont val="Calibri"/>
        <family val="2"/>
      </rPr>
      <t>ρ</t>
    </r>
    <r>
      <rPr>
        <vertAlign val="subscript"/>
        <sz val="11"/>
        <rFont val="Arial"/>
        <family val="2"/>
      </rPr>
      <t>k</t>
    </r>
    <r>
      <rPr>
        <sz val="11"/>
        <rFont val="Arial"/>
        <family val="2"/>
      </rPr>
      <t>,</t>
    </r>
    <r>
      <rPr>
        <vertAlign val="subscript"/>
        <sz val="11"/>
        <rFont val="Arial"/>
        <family val="2"/>
      </rPr>
      <t>xom</t>
    </r>
  </si>
  <si>
    <r>
      <t>Variance of return, Var(r</t>
    </r>
    <r>
      <rPr>
        <vertAlign val="subscript"/>
        <sz val="11"/>
        <rFont val="Arial"/>
        <family val="2"/>
      </rPr>
      <t>i</t>
    </r>
    <r>
      <rPr>
        <sz val="11"/>
        <rFont val="Arial"/>
        <family val="2"/>
      </rPr>
      <t>)=σ</t>
    </r>
    <r>
      <rPr>
        <vertAlign val="superscript"/>
        <sz val="11"/>
        <rFont val="Arial"/>
        <family val="2"/>
      </rPr>
      <t>2</t>
    </r>
    <r>
      <rPr>
        <vertAlign val="subscript"/>
        <sz val="11"/>
        <rFont val="Arial"/>
        <family val="2"/>
      </rPr>
      <t>i</t>
    </r>
  </si>
  <si>
    <r>
      <t>Standard deviation of return, σ</t>
    </r>
    <r>
      <rPr>
        <vertAlign val="subscript"/>
        <sz val="11"/>
        <rFont val="Arial"/>
        <family val="2"/>
      </rPr>
      <t>i</t>
    </r>
  </si>
  <si>
    <r>
      <t>Portfolio mean return, E(r</t>
    </r>
    <r>
      <rPr>
        <vertAlign val="subscript"/>
        <sz val="11"/>
        <rFont val="Arial"/>
        <family val="2"/>
      </rPr>
      <t>p</t>
    </r>
    <r>
      <rPr>
        <sz val="11"/>
        <rFont val="Arial"/>
        <family val="2"/>
      </rPr>
      <t>)</t>
    </r>
  </si>
  <si>
    <r>
      <t>Variance of return, Var(r</t>
    </r>
    <r>
      <rPr>
        <vertAlign val="subscript"/>
        <sz val="11"/>
        <rFont val="Arial"/>
        <family val="2"/>
      </rPr>
      <t>p</t>
    </r>
    <r>
      <rPr>
        <sz val="11"/>
        <rFont val="Arial"/>
        <family val="2"/>
      </rPr>
      <t>)=</t>
    </r>
    <r>
      <rPr>
        <sz val="11"/>
        <rFont val="Calibri"/>
        <family val="2"/>
      </rPr>
      <t>σ</t>
    </r>
    <r>
      <rPr>
        <vertAlign val="superscript"/>
        <sz val="11"/>
        <rFont val="Arial"/>
        <family val="2"/>
      </rPr>
      <t>2</t>
    </r>
    <r>
      <rPr>
        <vertAlign val="subscript"/>
        <sz val="11"/>
        <rFont val="Arial"/>
        <family val="2"/>
      </rPr>
      <t>p</t>
    </r>
  </si>
  <si>
    <r>
      <rPr>
        <sz val="11"/>
        <rFont val="Calibri"/>
        <family val="2"/>
      </rPr>
      <t>Standard deviation of return, σ</t>
    </r>
    <r>
      <rPr>
        <vertAlign val="subscript"/>
        <sz val="11"/>
        <rFont val="Arial"/>
        <family val="2"/>
      </rPr>
      <t>p</t>
    </r>
  </si>
  <si>
    <r>
      <t xml:space="preserve">Standard deviation of return, </t>
    </r>
    <r>
      <rPr>
        <sz val="11"/>
        <rFont val="Symbol"/>
        <family val="1"/>
        <charset val="2"/>
      </rPr>
      <t>s</t>
    </r>
    <r>
      <rPr>
        <vertAlign val="subscript"/>
        <sz val="11"/>
        <rFont val="Arial"/>
        <family val="2"/>
      </rPr>
      <t>K</t>
    </r>
  </si>
  <si>
    <r>
      <t>Covariance of returns, Cov(r</t>
    </r>
    <r>
      <rPr>
        <vertAlign val="subscript"/>
        <sz val="11"/>
        <rFont val="Arial"/>
        <family val="2"/>
      </rPr>
      <t>K</t>
    </r>
    <r>
      <rPr>
        <sz val="11"/>
        <rFont val="Arial"/>
        <family val="2"/>
      </rPr>
      <t>,r</t>
    </r>
    <r>
      <rPr>
        <vertAlign val="subscript"/>
        <sz val="11"/>
        <rFont val="Arial"/>
        <family val="2"/>
      </rPr>
      <t>XOM</t>
    </r>
    <r>
      <rPr>
        <sz val="11"/>
        <rFont val="Arial"/>
        <family val="2"/>
      </rPr>
      <t>)</t>
    </r>
  </si>
  <si>
    <r>
      <t>Correlation of returns, ρ</t>
    </r>
    <r>
      <rPr>
        <vertAlign val="subscript"/>
        <sz val="11"/>
        <rFont val="Arial"/>
        <family val="2"/>
      </rPr>
      <t>K</t>
    </r>
    <r>
      <rPr>
        <sz val="11"/>
        <rFont val="Arial"/>
        <family val="2"/>
      </rPr>
      <t>,</t>
    </r>
    <r>
      <rPr>
        <vertAlign val="subscript"/>
        <sz val="11"/>
        <rFont val="Arial"/>
        <family val="2"/>
      </rPr>
      <t>XOM</t>
    </r>
  </si>
  <si>
    <r>
      <t xml:space="preserve">Standard deviation of return, </t>
    </r>
    <r>
      <rPr>
        <sz val="11"/>
        <rFont val="Symbol"/>
        <family val="1"/>
        <charset val="2"/>
      </rPr>
      <t>s</t>
    </r>
    <r>
      <rPr>
        <vertAlign val="subscript"/>
        <sz val="11"/>
        <rFont val="Arial"/>
        <family val="2"/>
      </rPr>
      <t>i</t>
    </r>
  </si>
  <si>
    <t>RETURNS FOR 3 STOCKS</t>
  </si>
  <si>
    <t>Portfolio return statistics</t>
  </si>
  <si>
    <t>Cov(rBA,rK)</t>
  </si>
  <si>
    <t>Cov(rBA,rIBM)</t>
  </si>
  <si>
    <t>Cov(rK,rIBM)</t>
  </si>
  <si>
    <r>
      <t>Average (or mean) return, E(r</t>
    </r>
    <r>
      <rPr>
        <vertAlign val="subscript"/>
        <sz val="11"/>
        <rFont val="Arial"/>
        <family val="2"/>
      </rPr>
      <t>K</t>
    </r>
    <r>
      <rPr>
        <sz val="11"/>
        <rFont val="Arial"/>
        <family val="2"/>
      </rPr>
      <t>)</t>
    </r>
  </si>
  <si>
    <t>STATISTICS FOR A THREE-STOCK PORTFOLIO</t>
  </si>
  <si>
    <t>CALCULATING PORTFOLIO RETURNS 
AND STATISTICS (Kellogg and Exxon)</t>
  </si>
  <si>
    <t>Page</t>
  </si>
  <si>
    <t>Content</t>
  </si>
  <si>
    <t>CHAPTER 8 EXCEL SPREADSHEET INDEX</t>
  </si>
  <si>
    <t>Page 246</t>
  </si>
  <si>
    <t>Page 250</t>
  </si>
  <si>
    <t>Page 251</t>
  </si>
  <si>
    <t>Page 252</t>
  </si>
  <si>
    <t>Page 254</t>
  </si>
  <si>
    <t>Page 255</t>
  </si>
  <si>
    <t>Page 256</t>
  </si>
  <si>
    <t>Page 258</t>
  </si>
  <si>
    <t>Page 260+262</t>
  </si>
  <si>
    <t>Page 263</t>
  </si>
  <si>
    <t>Page 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</si>
</sst>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 ;_ * \-#,##0.00_ ;_ * &quot;-&quot;??_ ;_ @_ "/>
    <numFmt numFmtId="165" formatCode="_ * #,##0.0000_ ;_ * \-#,##0.0000_ ;_ * &quot;-&quot;??_ ;_ @_ "/>
    <numFmt numFmtId="166" formatCode="0.0%"/>
    <numFmt numFmtId="167" formatCode="0.0000"/>
    <numFmt numFmtId="168" formatCode="#,##0.0000"/>
    <numFmt numFmtId="169" formatCode="[$-409]d\-mmm\-yy;@"/>
    <numFmt numFmtId="170" formatCode="0.000"/>
    <numFmt numFmtId="171" formatCode="[$-409]d/mmm/yy;@"/>
    <numFmt numFmtId="172" formatCode="#,##0.000"/>
    <numFmt numFmtId="173" formatCode="[$-409]d\-mmm\-yyyy;@"/>
  </numFmts>
  <fonts count="35">
    <font>
      <sz val="10"/>
      <name val="Arial"/>
    </font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Calibri"/>
      <family val="1"/>
      <scheme val="minor"/>
    </font>
    <font>
      <sz val="10"/>
      <name val="Arial"/>
      <family val="2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b/>
      <sz val="14"/>
      <name val="Arial"/>
      <family val="2"/>
    </font>
    <font>
      <sz val="10"/>
      <name val="Geneva"/>
    </font>
    <font>
      <sz val="10"/>
      <name val="Arial"/>
      <family val="2"/>
    </font>
    <font>
      <b/>
      <sz val="10"/>
      <name val="Arial"/>
      <family val="2"/>
    </font>
    <font>
      <vertAlign val="subscript"/>
      <sz val="8"/>
      <name val="Arial"/>
      <family val="2"/>
    </font>
    <font>
      <vertAlign val="subscript"/>
      <sz val="10"/>
      <name val="Arial"/>
      <family val="2"/>
    </font>
    <font>
      <sz val="10"/>
      <name val="Calibri"/>
      <family val="2"/>
    </font>
    <font>
      <vertAlign val="superscript"/>
      <sz val="10"/>
      <name val="Arial"/>
      <family val="2"/>
    </font>
    <font>
      <sz val="14"/>
      <name val="Arial"/>
      <family val="2"/>
    </font>
    <font>
      <sz val="12"/>
      <name val="Arial"/>
      <family val="2"/>
    </font>
    <font>
      <vertAlign val="subscript"/>
      <sz val="12"/>
      <name val="Arial"/>
      <family val="2"/>
    </font>
    <font>
      <b/>
      <vertAlign val="subscript"/>
      <sz val="10"/>
      <name val="Arial"/>
      <family val="2"/>
    </font>
    <font>
      <b/>
      <sz val="10"/>
      <name val="Symbol"/>
      <family val="1"/>
      <charset val="2"/>
    </font>
    <font>
      <sz val="10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vertAlign val="subscript"/>
      <sz val="11"/>
      <name val="Arial"/>
      <family val="2"/>
    </font>
    <font>
      <sz val="11"/>
      <name val="Calibri"/>
      <family val="2"/>
    </font>
    <font>
      <vertAlign val="superscript"/>
      <sz val="11"/>
      <name val="Arial"/>
      <family val="2"/>
    </font>
    <font>
      <sz val="11"/>
      <name val="Colonna MT"/>
      <family val="5"/>
    </font>
    <font>
      <sz val="11"/>
      <name val="Symbol"/>
      <family val="1"/>
      <charset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1">
    <xf numFmtId="0" fontId="0" fillId="0" borderId="0"/>
    <xf numFmtId="0" fontId="7" fillId="0" borderId="0"/>
    <xf numFmtId="44" fontId="8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2" borderId="1" applyNumberFormat="0" applyAlignment="0" applyProtection="0"/>
    <xf numFmtId="0" fontId="11" fillId="3" borderId="1" applyNumberFormat="0" applyAlignment="0" applyProtection="0"/>
    <xf numFmtId="0" fontId="6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3" fillId="0" borderId="0"/>
    <xf numFmtId="0" fontId="2" fillId="0" borderId="0"/>
    <xf numFmtId="0" fontId="8" fillId="0" borderId="0"/>
    <xf numFmtId="9" fontId="8" fillId="0" borderId="0" applyFont="0" applyFill="0" applyBorder="0" applyAlignment="0" applyProtection="0"/>
    <xf numFmtId="39" fontId="8" fillId="0" borderId="0" applyFont="0" applyFill="0" applyBorder="0" applyAlignment="0" applyProtection="0"/>
    <xf numFmtId="0" fontId="1" fillId="0" borderId="0"/>
    <xf numFmtId="0" fontId="34" fillId="0" borderId="0" applyNumberFormat="0" applyFill="0" applyBorder="0" applyAlignment="0" applyProtection="0"/>
  </cellStyleXfs>
  <cellXfs count="136">
    <xf numFmtId="0" fontId="0" fillId="0" borderId="0" xfId="0"/>
    <xf numFmtId="4" fontId="0" fillId="0" borderId="0" xfId="0" applyNumberFormat="1"/>
    <xf numFmtId="0" fontId="0" fillId="5" borderId="0" xfId="0" applyFill="1"/>
    <xf numFmtId="0" fontId="0" fillId="0" borderId="0" xfId="0" applyAlignment="1">
      <alignment horizontal="center"/>
    </xf>
    <xf numFmtId="0" fontId="15" fillId="0" borderId="0" xfId="0" applyFont="1"/>
    <xf numFmtId="10" fontId="0" fillId="0" borderId="0" xfId="13" applyNumberFormat="1" applyFont="1"/>
    <xf numFmtId="4" fontId="15" fillId="0" borderId="0" xfId="0" applyNumberFormat="1" applyFont="1" applyAlignment="1">
      <alignment horizontal="center"/>
    </xf>
    <xf numFmtId="0" fontId="12" fillId="0" borderId="0" xfId="0" applyFont="1" applyAlignment="1">
      <alignment wrapText="1"/>
    </xf>
    <xf numFmtId="0" fontId="8" fillId="0" borderId="0" xfId="0" applyFont="1" applyFill="1" applyAlignment="1">
      <alignment horizontal="left"/>
    </xf>
    <xf numFmtId="0" fontId="15" fillId="0" borderId="0" xfId="0" applyFont="1" applyAlignment="1">
      <alignment horizontal="center"/>
    </xf>
    <xf numFmtId="164" fontId="0" fillId="0" borderId="0" xfId="12" applyFont="1" applyAlignment="1">
      <alignment horizontal="center"/>
    </xf>
    <xf numFmtId="164" fontId="0" fillId="0" borderId="0" xfId="12" applyFont="1" applyFill="1" applyAlignment="1">
      <alignment horizontal="center"/>
    </xf>
    <xf numFmtId="165" fontId="0" fillId="5" borderId="0" xfId="12" applyNumberFormat="1" applyFont="1" applyFill="1" applyAlignment="1">
      <alignment horizontal="center"/>
    </xf>
    <xf numFmtId="0" fontId="8" fillId="0" borderId="0" xfId="16"/>
    <xf numFmtId="0" fontId="15" fillId="0" borderId="0" xfId="16" applyFont="1" applyAlignment="1">
      <alignment horizontal="center"/>
    </xf>
    <xf numFmtId="0" fontId="15" fillId="0" borderId="0" xfId="16" applyFont="1" applyAlignment="1">
      <alignment horizontal="center" wrapText="1"/>
    </xf>
    <xf numFmtId="0" fontId="8" fillId="0" borderId="0" xfId="16" applyAlignment="1">
      <alignment horizontal="center"/>
    </xf>
    <xf numFmtId="10" fontId="0" fillId="0" borderId="0" xfId="17" applyNumberFormat="1" applyFont="1"/>
    <xf numFmtId="10" fontId="8" fillId="0" borderId="0" xfId="16" applyNumberFormat="1"/>
    <xf numFmtId="0" fontId="8" fillId="6" borderId="0" xfId="16" applyFill="1"/>
    <xf numFmtId="39" fontId="0" fillId="6" borderId="0" xfId="18" applyFont="1" applyFill="1"/>
    <xf numFmtId="0" fontId="8" fillId="0" borderId="0" xfId="16" applyFont="1"/>
    <xf numFmtId="0" fontId="8" fillId="0" borderId="0" xfId="16" applyFont="1" applyFill="1" applyAlignment="1">
      <alignment wrapText="1"/>
    </xf>
    <xf numFmtId="10" fontId="8" fillId="0" borderId="0" xfId="17" applyNumberFormat="1" applyFont="1"/>
    <xf numFmtId="9" fontId="8" fillId="0" borderId="0" xfId="16" applyNumberFormat="1" applyFont="1" applyAlignment="1">
      <alignment horizontal="center"/>
    </xf>
    <xf numFmtId="0" fontId="15" fillId="0" borderId="0" xfId="16" applyFont="1" applyAlignment="1">
      <alignment horizontal="center" vertical="center" wrapText="1"/>
    </xf>
    <xf numFmtId="167" fontId="8" fillId="0" borderId="0" xfId="16" applyNumberFormat="1" applyFont="1"/>
    <xf numFmtId="10" fontId="8" fillId="0" borderId="0" xfId="16" applyNumberFormat="1" applyFont="1"/>
    <xf numFmtId="168" fontId="8" fillId="0" borderId="0" xfId="16" applyNumberFormat="1" applyFont="1"/>
    <xf numFmtId="0" fontId="15" fillId="0" borderId="0" xfId="16" applyFont="1" applyAlignment="1">
      <alignment wrapText="1"/>
    </xf>
    <xf numFmtId="166" fontId="8" fillId="0" borderId="0" xfId="16" applyNumberFormat="1" applyFont="1" applyAlignment="1">
      <alignment horizontal="center"/>
    </xf>
    <xf numFmtId="169" fontId="0" fillId="0" borderId="0" xfId="0" applyNumberFormat="1"/>
    <xf numFmtId="10" fontId="0" fillId="0" borderId="0" xfId="0" applyNumberFormat="1"/>
    <xf numFmtId="167" fontId="0" fillId="5" borderId="0" xfId="0" applyNumberFormat="1" applyFill="1"/>
    <xf numFmtId="170" fontId="0" fillId="5" borderId="0" xfId="0" applyNumberFormat="1" applyFill="1"/>
    <xf numFmtId="168" fontId="0" fillId="5" borderId="0" xfId="0" applyNumberFormat="1" applyFill="1"/>
    <xf numFmtId="0" fontId="15" fillId="0" borderId="0" xfId="0" applyFont="1" applyAlignment="1">
      <alignment horizontal="center"/>
    </xf>
    <xf numFmtId="4" fontId="26" fillId="0" borderId="0" xfId="0" applyNumberFormat="1" applyFont="1" applyAlignment="1">
      <alignment horizontal="center" wrapText="1"/>
    </xf>
    <xf numFmtId="0" fontId="26" fillId="0" borderId="0" xfId="0" applyFont="1" applyAlignment="1">
      <alignment horizontal="center" wrapText="1"/>
    </xf>
    <xf numFmtId="0" fontId="27" fillId="0" borderId="0" xfId="0" applyFont="1" applyAlignment="1">
      <alignment horizontal="center" wrapText="1"/>
    </xf>
    <xf numFmtId="171" fontId="27" fillId="0" borderId="0" xfId="0" applyNumberFormat="1" applyFont="1" applyAlignment="1">
      <alignment horizontal="center"/>
    </xf>
    <xf numFmtId="4" fontId="27" fillId="0" borderId="0" xfId="0" applyNumberFormat="1" applyFont="1"/>
    <xf numFmtId="0" fontId="27" fillId="0" borderId="0" xfId="0" applyFont="1"/>
    <xf numFmtId="172" fontId="27" fillId="0" borderId="0" xfId="0" applyNumberFormat="1" applyFont="1"/>
    <xf numFmtId="10" fontId="27" fillId="0" borderId="0" xfId="13" applyNumberFormat="1" applyFont="1"/>
    <xf numFmtId="0" fontId="27" fillId="0" borderId="0" xfId="0" applyFont="1" applyAlignment="1">
      <alignment horizontal="center"/>
    </xf>
    <xf numFmtId="0" fontId="27" fillId="5" borderId="0" xfId="0" applyFont="1" applyFill="1" applyAlignment="1">
      <alignment horizontal="left"/>
    </xf>
    <xf numFmtId="0" fontId="27" fillId="5" borderId="0" xfId="0" applyFont="1" applyFill="1"/>
    <xf numFmtId="10" fontId="27" fillId="5" borderId="0" xfId="0" applyNumberFormat="1" applyFont="1" applyFill="1"/>
    <xf numFmtId="10" fontId="27" fillId="5" borderId="0" xfId="13" applyNumberFormat="1" applyFont="1" applyFill="1"/>
    <xf numFmtId="0" fontId="27" fillId="0" borderId="0" xfId="0" applyFont="1" applyAlignment="1">
      <alignment horizontal="left"/>
    </xf>
    <xf numFmtId="4" fontId="26" fillId="0" borderId="0" xfId="0" applyNumberFormat="1" applyFont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applyFont="1"/>
    <xf numFmtId="10" fontId="27" fillId="0" borderId="0" xfId="13" applyNumberFormat="1" applyFont="1" applyAlignment="1">
      <alignment horizontal="center"/>
    </xf>
    <xf numFmtId="0" fontId="27" fillId="0" borderId="0" xfId="0" applyFont="1" applyFill="1" applyAlignment="1">
      <alignment horizontal="left"/>
    </xf>
    <xf numFmtId="10" fontId="27" fillId="0" borderId="0" xfId="0" applyNumberFormat="1" applyFont="1" applyFill="1" applyAlignment="1">
      <alignment horizontal="center"/>
    </xf>
    <xf numFmtId="10" fontId="27" fillId="0" borderId="0" xfId="13" applyNumberFormat="1" applyFont="1" applyFill="1" applyAlignment="1">
      <alignment horizontal="center"/>
    </xf>
    <xf numFmtId="0" fontId="31" fillId="0" borderId="0" xfId="0" applyFont="1"/>
    <xf numFmtId="0" fontId="31" fillId="0" borderId="0" xfId="0" applyFont="1" applyAlignment="1">
      <alignment horizontal="center"/>
    </xf>
    <xf numFmtId="165" fontId="27" fillId="0" borderId="0" xfId="12" applyNumberFormat="1" applyFont="1" applyFill="1" applyAlignment="1">
      <alignment horizontal="center"/>
    </xf>
    <xf numFmtId="165" fontId="27" fillId="5" borderId="0" xfId="0" applyNumberFormat="1" applyFont="1" applyFill="1" applyAlignment="1">
      <alignment horizontal="center"/>
    </xf>
    <xf numFmtId="14" fontId="27" fillId="0" borderId="0" xfId="0" applyNumberFormat="1" applyFont="1" applyAlignment="1">
      <alignment horizontal="left"/>
    </xf>
    <xf numFmtId="4" fontId="27" fillId="0" borderId="0" xfId="13" applyNumberFormat="1" applyFont="1" applyAlignment="1">
      <alignment horizontal="center"/>
    </xf>
    <xf numFmtId="14" fontId="27" fillId="0" borderId="0" xfId="0" applyNumberFormat="1" applyFont="1" applyAlignment="1">
      <alignment horizontal="center"/>
    </xf>
    <xf numFmtId="10" fontId="27" fillId="5" borderId="0" xfId="0" applyNumberFormat="1" applyFont="1" applyFill="1" applyAlignment="1">
      <alignment horizontal="center"/>
    </xf>
    <xf numFmtId="10" fontId="27" fillId="5" borderId="0" xfId="13" applyNumberFormat="1" applyFont="1" applyFill="1" applyAlignment="1">
      <alignment horizontal="center"/>
    </xf>
    <xf numFmtId="0" fontId="26" fillId="0" borderId="0" xfId="0" applyFont="1" applyAlignment="1">
      <alignment horizontal="left"/>
    </xf>
    <xf numFmtId="165" fontId="27" fillId="5" borderId="0" xfId="12" applyNumberFormat="1" applyFont="1" applyFill="1" applyAlignment="1">
      <alignment horizontal="center"/>
    </xf>
    <xf numFmtId="167" fontId="27" fillId="0" borderId="0" xfId="0" applyNumberFormat="1" applyFont="1" applyFill="1" applyAlignment="1">
      <alignment horizontal="center"/>
    </xf>
    <xf numFmtId="167" fontId="0" fillId="5" borderId="0" xfId="0" applyNumberFormat="1" applyFill="1" applyAlignment="1">
      <alignment horizontal="center"/>
    </xf>
    <xf numFmtId="165" fontId="8" fillId="0" borderId="0" xfId="12" applyNumberFormat="1" applyFont="1" applyAlignment="1"/>
    <xf numFmtId="2" fontId="0" fillId="0" borderId="0" xfId="0" applyNumberFormat="1"/>
    <xf numFmtId="2" fontId="27" fillId="0" borderId="0" xfId="0" applyNumberFormat="1" applyFont="1"/>
    <xf numFmtId="10" fontId="27" fillId="0" borderId="0" xfId="0" applyNumberFormat="1" applyFont="1"/>
    <xf numFmtId="168" fontId="27" fillId="5" borderId="0" xfId="0" applyNumberFormat="1" applyFont="1" applyFill="1"/>
    <xf numFmtId="170" fontId="27" fillId="5" borderId="0" xfId="0" applyNumberFormat="1" applyFont="1" applyFill="1"/>
    <xf numFmtId="167" fontId="27" fillId="5" borderId="0" xfId="0" applyNumberFormat="1" applyFont="1" applyFill="1"/>
    <xf numFmtId="169" fontId="27" fillId="0" borderId="0" xfId="0" applyNumberFormat="1" applyFont="1" applyAlignment="1">
      <alignment horizontal="center"/>
    </xf>
    <xf numFmtId="0" fontId="25" fillId="0" borderId="0" xfId="16" applyFont="1"/>
    <xf numFmtId="0" fontId="8" fillId="0" borderId="0" xfId="16" applyFont="1" applyAlignment="1">
      <alignment horizontal="center" vertical="center" wrapText="1"/>
    </xf>
    <xf numFmtId="0" fontId="25" fillId="0" borderId="0" xfId="16" applyFont="1" applyAlignment="1">
      <alignment horizontal="center" vertical="center" wrapText="1"/>
    </xf>
    <xf numFmtId="169" fontId="8" fillId="0" borderId="0" xfId="16" applyNumberFormat="1" applyFont="1" applyAlignment="1">
      <alignment horizontal="center"/>
    </xf>
    <xf numFmtId="169" fontId="8" fillId="0" borderId="0" xfId="16" applyNumberFormat="1" applyFont="1"/>
    <xf numFmtId="0" fontId="8" fillId="0" borderId="0" xfId="16" applyFont="1" applyAlignment="1">
      <alignment vertical="center"/>
    </xf>
    <xf numFmtId="167" fontId="8" fillId="0" borderId="0" xfId="16" applyNumberFormat="1" applyFont="1" applyAlignment="1">
      <alignment vertical="center"/>
    </xf>
    <xf numFmtId="0" fontId="25" fillId="0" borderId="0" xfId="16" applyFont="1" applyAlignment="1">
      <alignment vertical="center" wrapText="1"/>
    </xf>
    <xf numFmtId="0" fontId="25" fillId="0" borderId="0" xfId="16" applyFont="1" applyAlignment="1">
      <alignment vertical="center"/>
    </xf>
    <xf numFmtId="10" fontId="8" fillId="0" borderId="0" xfId="16" applyNumberFormat="1" applyFont="1" applyFill="1"/>
    <xf numFmtId="0" fontId="8" fillId="0" borderId="0" xfId="16" applyFont="1" applyFill="1"/>
    <xf numFmtId="0" fontId="25" fillId="0" borderId="0" xfId="16" applyFont="1" applyFill="1"/>
    <xf numFmtId="10" fontId="8" fillId="0" borderId="0" xfId="17" applyNumberFormat="1" applyFont="1" applyFill="1"/>
    <xf numFmtId="0" fontId="26" fillId="0" borderId="0" xfId="16" applyFont="1" applyAlignment="1">
      <alignment horizontal="center" vertical="center"/>
    </xf>
    <xf numFmtId="0" fontId="33" fillId="0" borderId="0" xfId="16" applyFont="1"/>
    <xf numFmtId="0" fontId="27" fillId="0" borderId="0" xfId="16" applyFont="1"/>
    <xf numFmtId="167" fontId="27" fillId="0" borderId="0" xfId="16" applyNumberFormat="1" applyFont="1"/>
    <xf numFmtId="167" fontId="27" fillId="5" borderId="0" xfId="16" applyNumberFormat="1" applyFont="1" applyFill="1" applyAlignment="1">
      <alignment vertical="center"/>
    </xf>
    <xf numFmtId="0" fontId="27" fillId="0" borderId="0" xfId="16" applyFont="1" applyAlignment="1">
      <alignment horizontal="left" vertical="center" wrapText="1"/>
    </xf>
    <xf numFmtId="0" fontId="27" fillId="0" borderId="0" xfId="16" applyFont="1" applyFill="1"/>
    <xf numFmtId="167" fontId="27" fillId="0" borderId="0" xfId="16" applyNumberFormat="1" applyFont="1" applyFill="1"/>
    <xf numFmtId="167" fontId="27" fillId="0" borderId="0" xfId="16" applyNumberFormat="1" applyFont="1" applyFill="1" applyAlignment="1">
      <alignment vertical="center"/>
    </xf>
    <xf numFmtId="0" fontId="27" fillId="0" borderId="0" xfId="16" applyFont="1" applyFill="1" applyAlignment="1">
      <alignment horizontal="left" vertical="center" wrapText="1"/>
    </xf>
    <xf numFmtId="0" fontId="33" fillId="0" borderId="0" xfId="16" applyFont="1" applyFill="1"/>
    <xf numFmtId="10" fontId="27" fillId="0" borderId="0" xfId="17" applyNumberFormat="1" applyFont="1"/>
    <xf numFmtId="10" fontId="27" fillId="5" borderId="0" xfId="17" applyNumberFormat="1" applyFont="1" applyFill="1"/>
    <xf numFmtId="167" fontId="27" fillId="5" borderId="0" xfId="16" applyNumberFormat="1" applyFont="1" applyFill="1" applyAlignment="1">
      <alignment vertical="top"/>
    </xf>
    <xf numFmtId="0" fontId="27" fillId="0" borderId="0" xfId="16" applyFont="1" applyAlignment="1">
      <alignment horizontal="left" vertical="top" wrapText="1"/>
    </xf>
    <xf numFmtId="0" fontId="27" fillId="0" borderId="0" xfId="16" applyFont="1" applyAlignment="1">
      <alignment vertical="center"/>
    </xf>
    <xf numFmtId="167" fontId="27" fillId="0" borderId="0" xfId="16" applyNumberFormat="1" applyFont="1" applyAlignment="1">
      <alignment vertical="center"/>
    </xf>
    <xf numFmtId="0" fontId="26" fillId="0" borderId="0" xfId="16" applyFont="1" applyAlignment="1">
      <alignment horizontal="center" wrapText="1"/>
    </xf>
    <xf numFmtId="0" fontId="26" fillId="0" borderId="0" xfId="16" applyFont="1" applyAlignment="1">
      <alignment horizontal="center" vertical="center" wrapText="1"/>
    </xf>
    <xf numFmtId="169" fontId="27" fillId="0" borderId="0" xfId="16" applyNumberFormat="1" applyFont="1" applyAlignment="1">
      <alignment horizontal="center"/>
    </xf>
    <xf numFmtId="169" fontId="27" fillId="0" borderId="0" xfId="16" applyNumberFormat="1" applyFont="1"/>
    <xf numFmtId="10" fontId="27" fillId="0" borderId="0" xfId="16" applyNumberFormat="1" applyFont="1"/>
    <xf numFmtId="10" fontId="27" fillId="0" borderId="0" xfId="16" applyNumberFormat="1" applyFont="1" applyFill="1"/>
    <xf numFmtId="10" fontId="27" fillId="0" borderId="0" xfId="17" applyNumberFormat="1" applyFont="1" applyFill="1"/>
    <xf numFmtId="169" fontId="27" fillId="5" borderId="0" xfId="16" applyNumberFormat="1" applyFont="1" applyFill="1" applyAlignment="1">
      <alignment vertical="center" wrapText="1"/>
    </xf>
    <xf numFmtId="2" fontId="27" fillId="5" borderId="0" xfId="17" applyNumberFormat="1" applyFont="1" applyFill="1" applyAlignment="1">
      <alignment vertical="center"/>
    </xf>
    <xf numFmtId="165" fontId="27" fillId="5" borderId="0" xfId="12" applyNumberFormat="1" applyFont="1" applyFill="1"/>
    <xf numFmtId="173" fontId="0" fillId="0" borderId="0" xfId="0" applyNumberFormat="1" applyAlignment="1">
      <alignment horizontal="center"/>
    </xf>
    <xf numFmtId="173" fontId="27" fillId="0" borderId="0" xfId="0" applyNumberFormat="1" applyFont="1" applyAlignment="1">
      <alignment horizontal="center"/>
    </xf>
    <xf numFmtId="0" fontId="34" fillId="0" borderId="0" xfId="20" quotePrefix="1"/>
    <xf numFmtId="0" fontId="26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16" applyFont="1" applyAlignment="1">
      <alignment horizontal="center" vertical="center" wrapText="1"/>
    </xf>
    <xf numFmtId="10" fontId="8" fillId="7" borderId="0" xfId="17" applyNumberFormat="1" applyFont="1" applyFill="1" applyAlignment="1">
      <alignment horizontal="center"/>
    </xf>
    <xf numFmtId="0" fontId="8" fillId="7" borderId="0" xfId="16" applyFont="1" applyFill="1" applyAlignment="1">
      <alignment horizontal="center" wrapText="1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0" fontId="15" fillId="0" borderId="0" xfId="16" applyFont="1" applyAlignment="1">
      <alignment horizontal="left"/>
    </xf>
    <xf numFmtId="0" fontId="15" fillId="0" borderId="0" xfId="16" applyFont="1" applyAlignment="1">
      <alignment horizontal="center"/>
    </xf>
    <xf numFmtId="0" fontId="12" fillId="0" borderId="0" xfId="16" applyFont="1" applyAlignment="1">
      <alignment horizontal="center" vertical="center"/>
    </xf>
    <xf numFmtId="0" fontId="26" fillId="8" borderId="0" xfId="16" applyFont="1" applyFill="1" applyAlignment="1">
      <alignment horizontal="center"/>
    </xf>
  </cellXfs>
  <cellStyles count="21">
    <cellStyle name="20% - Accent3 2" xfId="3"/>
    <cellStyle name="Calculation 2" xfId="5"/>
    <cellStyle name="Comma" xfId="12" builtinId="3"/>
    <cellStyle name="Comma 2" xfId="10"/>
    <cellStyle name="Currency 2" xfId="2"/>
    <cellStyle name="Hyperlink" xfId="20" builtinId="8"/>
    <cellStyle name="Input 2" xfId="4"/>
    <cellStyle name="My comma" xfId="18"/>
    <cellStyle name="Normal" xfId="0" builtinId="0"/>
    <cellStyle name="Normal 10" xfId="19"/>
    <cellStyle name="Normal 2" xfId="1"/>
    <cellStyle name="Normal 3" xfId="6"/>
    <cellStyle name="Normal 4" xfId="7"/>
    <cellStyle name="Normal 5" xfId="9"/>
    <cellStyle name="Normal 6" xfId="11"/>
    <cellStyle name="Normal 7" xfId="14"/>
    <cellStyle name="Normal 8" xfId="15"/>
    <cellStyle name="Normal 9" xfId="16"/>
    <cellStyle name="Percent" xfId="13" builtinId="5"/>
    <cellStyle name="Percent 2" xfId="8"/>
    <cellStyle name="Percent 3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Annual Stock Returns, Adams Farm and Morgan Sausage</a:t>
            </a:r>
          </a:p>
        </c:rich>
      </c:tx>
      <c:layout>
        <c:manualLayout>
          <c:xMode val="edge"/>
          <c:yMode val="edge"/>
          <c:x val="0.15931410681417338"/>
          <c:y val="3.6789297658863032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6421607933153179"/>
          <c:y val="0.22742474916387959"/>
          <c:w val="0.76225672644934905"/>
          <c:h val="0.60535117056856413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'Page 254'!$B$3:$B$12</c:f>
              <c:numCache>
                <c:formatCode>0.00%</c:formatCode>
                <c:ptCount val="10"/>
                <c:pt idx="0">
                  <c:v>0.30730000000000002</c:v>
                </c:pt>
                <c:pt idx="1">
                  <c:v>0.55210000000000004</c:v>
                </c:pt>
                <c:pt idx="2">
                  <c:v>0.15820000000000001</c:v>
                </c:pt>
                <c:pt idx="3">
                  <c:v>0.33539999999999998</c:v>
                </c:pt>
                <c:pt idx="4">
                  <c:v>0.14929999999999999</c:v>
                </c:pt>
                <c:pt idx="5">
                  <c:v>0.3584</c:v>
                </c:pt>
                <c:pt idx="6">
                  <c:v>0.4839</c:v>
                </c:pt>
                <c:pt idx="7">
                  <c:v>0.37709999999999999</c:v>
                </c:pt>
                <c:pt idx="8">
                  <c:v>0.67849999999999999</c:v>
                </c:pt>
                <c:pt idx="9">
                  <c:v>0.44850000000000001</c:v>
                </c:pt>
              </c:numCache>
            </c:numRef>
          </c:xVal>
          <c:yVal>
            <c:numRef>
              <c:f>'Page 254'!$C$3:$C$12</c:f>
              <c:numCache>
                <c:formatCode>0.00%</c:formatCode>
                <c:ptCount val="10"/>
                <c:pt idx="0">
                  <c:v>0.21438000000000001</c:v>
                </c:pt>
                <c:pt idx="1">
                  <c:v>0.36126000000000003</c:v>
                </c:pt>
                <c:pt idx="2">
                  <c:v>0.12492</c:v>
                </c:pt>
                <c:pt idx="3">
                  <c:v>0.23123999999999997</c:v>
                </c:pt>
                <c:pt idx="4">
                  <c:v>0.11957999999999999</c:v>
                </c:pt>
                <c:pt idx="5">
                  <c:v>0.24503999999999998</c:v>
                </c:pt>
                <c:pt idx="6">
                  <c:v>0.32033999999999996</c:v>
                </c:pt>
                <c:pt idx="7">
                  <c:v>0.25625999999999999</c:v>
                </c:pt>
                <c:pt idx="8">
                  <c:v>0.43709999999999993</c:v>
                </c:pt>
                <c:pt idx="9">
                  <c:v>0.29910000000000003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DFD4-4182-9C77-0ED46CAA35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2706688"/>
        <c:axId val="242721536"/>
      </c:scatterChart>
      <c:valAx>
        <c:axId val="242706688"/>
        <c:scaling>
          <c:orientation val="minMax"/>
          <c:max val="0.70000000000000062"/>
          <c:min val="0.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Adams Farm</a:t>
                </a:r>
              </a:p>
            </c:rich>
          </c:tx>
          <c:layout>
            <c:manualLayout>
              <c:xMode val="edge"/>
              <c:yMode val="edge"/>
              <c:x val="0.45098147159704416"/>
              <c:y val="0.9130434782608696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2721536"/>
        <c:crosses val="autoZero"/>
        <c:crossBetween val="midCat"/>
        <c:majorUnit val="0.1"/>
        <c:minorUnit val="0.05"/>
      </c:valAx>
      <c:valAx>
        <c:axId val="242721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Morgan Sausage</a:t>
                </a:r>
              </a:p>
            </c:rich>
          </c:tx>
          <c:layout>
            <c:manualLayout>
              <c:xMode val="edge"/>
              <c:yMode val="edge"/>
              <c:x val="1.9607890069436709E-2"/>
              <c:y val="0.3612040133779274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27066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189" r="0.75000000000000189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Portfolio Mean and Standard Deviation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2158573928258989"/>
          <c:y val="0.13913203557888598"/>
          <c:w val="0.82385170603674562"/>
          <c:h val="0.67928988043161354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'Page 256'!$D$8</c:f>
              <c:strCache>
                <c:ptCount val="1"/>
                <c:pt idx="0">
                  <c:v>Portfolio
mean
E(rp)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'Page 256'!$C$9:$C$19</c:f>
              <c:numCache>
                <c:formatCode>0.00%</c:formatCode>
                <c:ptCount val="11"/>
                <c:pt idx="0">
                  <c:v>0.11804835378241418</c:v>
                </c:pt>
                <c:pt idx="1">
                  <c:v>0.11279468241570061</c:v>
                </c:pt>
                <c:pt idx="2">
                  <c:v>0.10997699207111013</c:v>
                </c:pt>
                <c:pt idx="3">
                  <c:v>0.10978300889476841</c:v>
                </c:pt>
                <c:pt idx="4">
                  <c:v>0.11222633894143616</c:v>
                </c:pt>
                <c:pt idx="5">
                  <c:v>0.117142072355055</c:v>
                </c:pt>
                <c:pt idx="6">
                  <c:v>0.12423707551413667</c:v>
                </c:pt>
                <c:pt idx="7">
                  <c:v>0.13316346571865412</c:v>
                </c:pt>
                <c:pt idx="8">
                  <c:v>0.14358007565581857</c:v>
                </c:pt>
                <c:pt idx="9">
                  <c:v>0.15518711126149462</c:v>
                </c:pt>
                <c:pt idx="10">
                  <c:v>0.16773763063568639</c:v>
                </c:pt>
              </c:numCache>
            </c:numRef>
          </c:xVal>
          <c:yVal>
            <c:numRef>
              <c:f>'Page 256'!$D$9:$D$19</c:f>
              <c:numCache>
                <c:formatCode>0.00%</c:formatCode>
                <c:ptCount val="11"/>
                <c:pt idx="0">
                  <c:v>8.3053138516038544E-2</c:v>
                </c:pt>
                <c:pt idx="1">
                  <c:v>8.7857871479236849E-2</c:v>
                </c:pt>
                <c:pt idx="2">
                  <c:v>9.266260444243514E-2</c:v>
                </c:pt>
                <c:pt idx="3">
                  <c:v>9.7467337405633445E-2</c:v>
                </c:pt>
                <c:pt idx="4">
                  <c:v>0.10227207036883174</c:v>
                </c:pt>
                <c:pt idx="5">
                  <c:v>0.10707680333203004</c:v>
                </c:pt>
                <c:pt idx="6">
                  <c:v>0.11188153629522835</c:v>
                </c:pt>
                <c:pt idx="7">
                  <c:v>0.11668626925842662</c:v>
                </c:pt>
                <c:pt idx="8">
                  <c:v>0.12149100222162493</c:v>
                </c:pt>
                <c:pt idx="9">
                  <c:v>0.12629573518482323</c:v>
                </c:pt>
                <c:pt idx="10">
                  <c:v>0.13110046814802151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980-4DAC-B187-C72733972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3267456"/>
        <c:axId val="243335552"/>
      </c:scatterChart>
      <c:valAx>
        <c:axId val="243267456"/>
        <c:scaling>
          <c:orientation val="minMax"/>
          <c:min val="7.0000000000000007E-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Portfolio standard deviation </a:t>
                </a:r>
                <a:r>
                  <a:rPr lang="el-GR" b="1"/>
                  <a:t>σ</a:t>
                </a:r>
                <a:r>
                  <a:rPr lang="en-US" b="1"/>
                  <a:t>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3335552"/>
        <c:crosses val="autoZero"/>
        <c:crossBetween val="midCat"/>
        <c:majorUnit val="1.0000000000000002E-2"/>
      </c:valAx>
      <c:valAx>
        <c:axId val="243335552"/>
        <c:scaling>
          <c:orientation val="minMax"/>
          <c:min val="5.000000000000001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Portfolio expected return E(rp)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3267456"/>
        <c:crosses val="autoZero"/>
        <c:crossBetween val="midCat"/>
        <c:majorUnit val="1.0000000000000005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IBM Monthly Returns vs. S&amp;P500</a:t>
            </a:r>
            <a:r>
              <a:rPr lang="en-US" b="1" baseline="0">
                <a:solidFill>
                  <a:sysClr val="windowText" lastClr="000000"/>
                </a:solidFill>
              </a:rPr>
              <a:t> </a:t>
            </a:r>
          </a:p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 baseline="0">
                <a:solidFill>
                  <a:sysClr val="windowText" lastClr="000000"/>
                </a:solidFill>
              </a:rPr>
              <a:t>2012-2013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8.974702148426443E-2"/>
          <c:y val="0.16887913695373927"/>
          <c:w val="0.84642634726741983"/>
          <c:h val="0.73528967134730761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'Page 258'!$F$3</c:f>
              <c:strCache>
                <c:ptCount val="1"/>
                <c:pt idx="0">
                  <c:v>IBM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'Page 258'!$E$4:$E$28</c:f>
              <c:numCache>
                <c:formatCode>0.00%</c:formatCode>
                <c:ptCount val="25"/>
                <c:pt idx="1">
                  <c:v>4.3583015267175673E-2</c:v>
                </c:pt>
                <c:pt idx="2">
                  <c:v>4.0589449943234213E-2</c:v>
                </c:pt>
                <c:pt idx="3">
                  <c:v>3.1332376545017748E-2</c:v>
                </c:pt>
                <c:pt idx="4">
                  <c:v>-7.497497284287169E-3</c:v>
                </c:pt>
                <c:pt idx="5">
                  <c:v>-6.2650671359386623E-2</c:v>
                </c:pt>
                <c:pt idx="6">
                  <c:v>3.9554921279372435E-2</c:v>
                </c:pt>
                <c:pt idx="7">
                  <c:v>1.2597639043871345E-2</c:v>
                </c:pt>
                <c:pt idx="8">
                  <c:v>1.9763361656468303E-2</c:v>
                </c:pt>
                <c:pt idx="9">
                  <c:v>2.4236090375236552E-2</c:v>
                </c:pt>
                <c:pt idx="10">
                  <c:v>-1.9789403541407791E-2</c:v>
                </c:pt>
                <c:pt idx="11">
                  <c:v>2.8467029231815655E-3</c:v>
                </c:pt>
                <c:pt idx="12">
                  <c:v>7.0683105254980561E-3</c:v>
                </c:pt>
                <c:pt idx="13">
                  <c:v>5.0428063581991145E-2</c:v>
                </c:pt>
                <c:pt idx="14">
                  <c:v>1.1060603026480154E-2</c:v>
                </c:pt>
                <c:pt idx="15">
                  <c:v>3.5987799403174314E-2</c:v>
                </c:pt>
                <c:pt idx="16">
                  <c:v>1.8085763992887971E-2</c:v>
                </c:pt>
                <c:pt idx="17">
                  <c:v>2.0762783477406455E-2</c:v>
                </c:pt>
                <c:pt idx="18">
                  <c:v>-1.499932545960736E-2</c:v>
                </c:pt>
                <c:pt idx="19">
                  <c:v>4.9462111213487203E-2</c:v>
                </c:pt>
                <c:pt idx="20">
                  <c:v>-3.1298013323604601E-2</c:v>
                </c:pt>
                <c:pt idx="21">
                  <c:v>2.9749474883188354E-2</c:v>
                </c:pt>
                <c:pt idx="22">
                  <c:v>4.4595759864410889E-2</c:v>
                </c:pt>
                <c:pt idx="23">
                  <c:v>2.804946087194149E-2</c:v>
                </c:pt>
                <c:pt idx="24">
                  <c:v>2.3562833299184183E-2</c:v>
                </c:pt>
              </c:numCache>
            </c:numRef>
          </c:xVal>
          <c:yVal>
            <c:numRef>
              <c:f>'Page 258'!$F$4:$F$28</c:f>
              <c:numCache>
                <c:formatCode>0.00%</c:formatCode>
                <c:ptCount val="25"/>
                <c:pt idx="1">
                  <c:v>4.7434435575826717E-2</c:v>
                </c:pt>
                <c:pt idx="2">
                  <c:v>2.5419116046157209E-2</c:v>
                </c:pt>
                <c:pt idx="3">
                  <c:v>6.0618928817878004E-2</c:v>
                </c:pt>
                <c:pt idx="4">
                  <c:v>-7.5571793203542681E-3</c:v>
                </c:pt>
                <c:pt idx="5">
                  <c:v>-6.4548663640948134E-2</c:v>
                </c:pt>
                <c:pt idx="6">
                  <c:v>1.3908355795148264E-2</c:v>
                </c:pt>
                <c:pt idx="7">
                  <c:v>2.0204168438962E-3</c:v>
                </c:pt>
                <c:pt idx="8">
                  <c:v>-1.5387880717394609E-3</c:v>
                </c:pt>
                <c:pt idx="9">
                  <c:v>6.4675559334644195E-2</c:v>
                </c:pt>
                <c:pt idx="10">
                  <c:v>-6.2244184885694276E-2</c:v>
                </c:pt>
                <c:pt idx="11">
                  <c:v>-1.868313195294613E-2</c:v>
                </c:pt>
                <c:pt idx="12">
                  <c:v>7.8108049468430529E-3</c:v>
                </c:pt>
                <c:pt idx="13">
                  <c:v>6.0118406889128062E-2</c:v>
                </c:pt>
                <c:pt idx="14">
                  <c:v>-6.853835609483605E-3</c:v>
                </c:pt>
                <c:pt idx="15">
                  <c:v>6.2110213679582804E-2</c:v>
                </c:pt>
                <c:pt idx="16">
                  <c:v>-5.0488520960677685E-2</c:v>
                </c:pt>
                <c:pt idx="17">
                  <c:v>3.1883617193836145E-2</c:v>
                </c:pt>
                <c:pt idx="18">
                  <c:v>-8.1298816132042928E-2</c:v>
                </c:pt>
                <c:pt idx="19">
                  <c:v>2.0586033579296226E-2</c:v>
                </c:pt>
                <c:pt idx="20">
                  <c:v>-6.0826740713574745E-2</c:v>
                </c:pt>
                <c:pt idx="21">
                  <c:v>1.6010264420394993E-2</c:v>
                </c:pt>
                <c:pt idx="22">
                  <c:v>-3.2284631856366319E-2</c:v>
                </c:pt>
                <c:pt idx="23">
                  <c:v>8.0567375886524406E-3</c:v>
                </c:pt>
                <c:pt idx="24">
                  <c:v>4.3901615354308587E-2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86C-4BF2-81C5-7E797A4AC7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3400064"/>
        <c:axId val="244262784"/>
      </c:scatterChart>
      <c:valAx>
        <c:axId val="2434000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S&amp;P500 returns</a:t>
                </a:r>
              </a:p>
            </c:rich>
          </c:tx>
          <c:layout>
            <c:manualLayout>
              <c:xMode val="edge"/>
              <c:yMode val="edge"/>
              <c:x val="0.71687217915707047"/>
              <c:y val="0.6690077070042602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4262784"/>
        <c:crosses val="autoZero"/>
        <c:crossBetween val="midCat"/>
      </c:valAx>
      <c:valAx>
        <c:axId val="24426278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IBM returns</a:t>
                </a:r>
              </a:p>
            </c:rich>
          </c:tx>
          <c:layout>
            <c:manualLayout>
              <c:xMode val="edge"/>
              <c:yMode val="edge"/>
              <c:x val="1.5206812652068127E-2"/>
              <c:y val="0.4449083982955995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3400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IBM Monthly Returns vs. S&amp;P500 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2012-2013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8.974702148426443E-2"/>
          <c:y val="0.16887913695373927"/>
          <c:w val="0.84642634726741983"/>
          <c:h val="0.73528967134730761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'Page 260+262'!$F$3</c:f>
              <c:strCache>
                <c:ptCount val="1"/>
                <c:pt idx="0">
                  <c:v>IBM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43559317811761883"/>
                  <c:y val="-1.6308671783553112E-2"/>
                </c:manualLayout>
              </c:layout>
              <c:numFmt formatCode="General" sourceLinked="0"/>
              <c:spPr>
                <a:solidFill>
                  <a:schemeClr val="accent1">
                    <a:lumMod val="20000"/>
                    <a:lumOff val="80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'Page 260+262'!$E$4:$E$28</c:f>
              <c:numCache>
                <c:formatCode>0.00%</c:formatCode>
                <c:ptCount val="25"/>
                <c:pt idx="1">
                  <c:v>4.3583015267175673E-2</c:v>
                </c:pt>
                <c:pt idx="2">
                  <c:v>4.0589449943234213E-2</c:v>
                </c:pt>
                <c:pt idx="3">
                  <c:v>3.1332376545017748E-2</c:v>
                </c:pt>
                <c:pt idx="4">
                  <c:v>-7.497497284287169E-3</c:v>
                </c:pt>
                <c:pt idx="5">
                  <c:v>-6.2650671359386623E-2</c:v>
                </c:pt>
                <c:pt idx="6">
                  <c:v>3.9554921279372435E-2</c:v>
                </c:pt>
                <c:pt idx="7">
                  <c:v>1.2597639043871345E-2</c:v>
                </c:pt>
                <c:pt idx="8">
                  <c:v>1.9763361656468303E-2</c:v>
                </c:pt>
                <c:pt idx="9">
                  <c:v>2.4236090375236552E-2</c:v>
                </c:pt>
                <c:pt idx="10">
                  <c:v>-1.9789403541407791E-2</c:v>
                </c:pt>
                <c:pt idx="11">
                  <c:v>2.8467029231815655E-3</c:v>
                </c:pt>
                <c:pt idx="12">
                  <c:v>7.0683105254980561E-3</c:v>
                </c:pt>
                <c:pt idx="13">
                  <c:v>5.0428063581991145E-2</c:v>
                </c:pt>
                <c:pt idx="14">
                  <c:v>1.1060603026480154E-2</c:v>
                </c:pt>
                <c:pt idx="15">
                  <c:v>3.5987799403174314E-2</c:v>
                </c:pt>
                <c:pt idx="16">
                  <c:v>1.8085763992887971E-2</c:v>
                </c:pt>
                <c:pt idx="17">
                  <c:v>2.0762783477406455E-2</c:v>
                </c:pt>
                <c:pt idx="18">
                  <c:v>-1.499932545960736E-2</c:v>
                </c:pt>
                <c:pt idx="19">
                  <c:v>4.9462111213487203E-2</c:v>
                </c:pt>
                <c:pt idx="20">
                  <c:v>-3.1298013323604601E-2</c:v>
                </c:pt>
                <c:pt idx="21">
                  <c:v>2.9749474883188354E-2</c:v>
                </c:pt>
                <c:pt idx="22">
                  <c:v>4.4595759864410889E-2</c:v>
                </c:pt>
                <c:pt idx="23">
                  <c:v>2.804946087194149E-2</c:v>
                </c:pt>
                <c:pt idx="24">
                  <c:v>2.3562833299184183E-2</c:v>
                </c:pt>
              </c:numCache>
            </c:numRef>
          </c:xVal>
          <c:yVal>
            <c:numRef>
              <c:f>'Page 260+262'!$F$4:$F$28</c:f>
              <c:numCache>
                <c:formatCode>0.00%</c:formatCode>
                <c:ptCount val="25"/>
                <c:pt idx="1">
                  <c:v>4.7434435575826717E-2</c:v>
                </c:pt>
                <c:pt idx="2">
                  <c:v>2.5419116046157209E-2</c:v>
                </c:pt>
                <c:pt idx="3">
                  <c:v>6.0618928817878004E-2</c:v>
                </c:pt>
                <c:pt idx="4">
                  <c:v>-7.5571793203542681E-3</c:v>
                </c:pt>
                <c:pt idx="5">
                  <c:v>-6.4548663640948134E-2</c:v>
                </c:pt>
                <c:pt idx="6">
                  <c:v>1.3908355795148264E-2</c:v>
                </c:pt>
                <c:pt idx="7">
                  <c:v>2.0204168438962E-3</c:v>
                </c:pt>
                <c:pt idx="8">
                  <c:v>-1.5387880717394609E-3</c:v>
                </c:pt>
                <c:pt idx="9">
                  <c:v>6.4675559334644195E-2</c:v>
                </c:pt>
                <c:pt idx="10">
                  <c:v>-6.2244184885694276E-2</c:v>
                </c:pt>
                <c:pt idx="11">
                  <c:v>-1.868313195294613E-2</c:v>
                </c:pt>
                <c:pt idx="12">
                  <c:v>7.8108049468430529E-3</c:v>
                </c:pt>
                <c:pt idx="13">
                  <c:v>6.0118406889128062E-2</c:v>
                </c:pt>
                <c:pt idx="14">
                  <c:v>-6.853835609483605E-3</c:v>
                </c:pt>
                <c:pt idx="15">
                  <c:v>6.2110213679582804E-2</c:v>
                </c:pt>
                <c:pt idx="16">
                  <c:v>-5.0488520960677685E-2</c:v>
                </c:pt>
                <c:pt idx="17">
                  <c:v>3.1883617193836145E-2</c:v>
                </c:pt>
                <c:pt idx="18">
                  <c:v>-8.1298816132042928E-2</c:v>
                </c:pt>
                <c:pt idx="19">
                  <c:v>2.0586033579296226E-2</c:v>
                </c:pt>
                <c:pt idx="20">
                  <c:v>-6.0826740713574745E-2</c:v>
                </c:pt>
                <c:pt idx="21">
                  <c:v>1.6010264420394993E-2</c:v>
                </c:pt>
                <c:pt idx="22">
                  <c:v>-3.2284631856366319E-2</c:v>
                </c:pt>
                <c:pt idx="23">
                  <c:v>8.0567375886524406E-3</c:v>
                </c:pt>
                <c:pt idx="24">
                  <c:v>4.3901615354308587E-2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E0A-426F-B81C-473562F781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4318208"/>
        <c:axId val="244320128"/>
      </c:scatterChart>
      <c:valAx>
        <c:axId val="244318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S&amp;P500 returns</a:t>
                </a:r>
              </a:p>
            </c:rich>
          </c:tx>
          <c:layout>
            <c:manualLayout>
              <c:xMode val="edge"/>
              <c:yMode val="edge"/>
              <c:x val="0.71687217915707047"/>
              <c:y val="0.6690077070042602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4320128"/>
        <c:crosses val="autoZero"/>
        <c:crossBetween val="midCat"/>
      </c:valAx>
      <c:valAx>
        <c:axId val="244320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IBM returns</a:t>
                </a:r>
              </a:p>
            </c:rich>
          </c:tx>
          <c:layout>
            <c:manualLayout>
              <c:xMode val="edge"/>
              <c:yMode val="edge"/>
              <c:x val="1.5206812652068127E-2"/>
              <c:y val="0.4449083982955995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4318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14</xdr:row>
      <xdr:rowOff>30480</xdr:rowOff>
    </xdr:from>
    <xdr:to>
      <xdr:col>3</xdr:col>
      <xdr:colOff>1821180</xdr:colOff>
      <xdr:row>31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476251</xdr:colOff>
      <xdr:row>19</xdr:row>
      <xdr:rowOff>0</xdr:rowOff>
    </xdr:from>
    <xdr:to>
      <xdr:col>4</xdr:col>
      <xdr:colOff>314328</xdr:colOff>
      <xdr:row>22</xdr:row>
      <xdr:rowOff>142876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CxnSpPr/>
      </xdr:nvCxnSpPr>
      <xdr:spPr bwMode="auto">
        <a:xfrm rot="16200000" flipV="1">
          <a:off x="2289812" y="3040379"/>
          <a:ext cx="611506" cy="466727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2</xdr:col>
      <xdr:colOff>351632</xdr:colOff>
      <xdr:row>18</xdr:row>
      <xdr:rowOff>134144</xdr:rowOff>
    </xdr:from>
    <xdr:to>
      <xdr:col>2</xdr:col>
      <xdr:colOff>353220</xdr:colOff>
      <xdr:row>19</xdr:row>
      <xdr:rowOff>153194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CxnSpPr/>
      </xdr:nvCxnSpPr>
      <xdr:spPr bwMode="auto">
        <a:xfrm rot="5400000" flipH="1" flipV="1">
          <a:off x="1522096" y="3032760"/>
          <a:ext cx="175260" cy="1588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0</xdr:col>
      <xdr:colOff>742950</xdr:colOff>
      <xdr:row>18</xdr:row>
      <xdr:rowOff>114301</xdr:rowOff>
    </xdr:from>
    <xdr:to>
      <xdr:col>1</xdr:col>
      <xdr:colOff>314325</xdr:colOff>
      <xdr:row>22</xdr:row>
      <xdr:rowOff>142875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CxnSpPr/>
      </xdr:nvCxnSpPr>
      <xdr:spPr bwMode="auto">
        <a:xfrm flipV="1">
          <a:off x="628650" y="2926081"/>
          <a:ext cx="314325" cy="653414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4</xdr:col>
      <xdr:colOff>91440</xdr:colOff>
      <xdr:row>4</xdr:row>
      <xdr:rowOff>106679</xdr:rowOff>
    </xdr:from>
    <xdr:to>
      <xdr:col>10</xdr:col>
      <xdr:colOff>358140</xdr:colOff>
      <xdr:row>20</xdr:row>
      <xdr:rowOff>87629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</xdr:colOff>
      <xdr:row>6</xdr:row>
      <xdr:rowOff>30480</xdr:rowOff>
    </xdr:from>
    <xdr:to>
      <xdr:col>12</xdr:col>
      <xdr:colOff>563880</xdr:colOff>
      <xdr:row>27</xdr:row>
      <xdr:rowOff>102870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</xdr:colOff>
      <xdr:row>6</xdr:row>
      <xdr:rowOff>30480</xdr:rowOff>
    </xdr:from>
    <xdr:to>
      <xdr:col>12</xdr:col>
      <xdr:colOff>563880</xdr:colOff>
      <xdr:row>27</xdr:row>
      <xdr:rowOff>102870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B9" sqref="B9"/>
    </sheetView>
  </sheetViews>
  <sheetFormatPr defaultRowHeight="12.75"/>
  <cols>
    <col min="1" max="1" width="12.42578125" bestFit="1" customWidth="1"/>
    <col min="2" max="2" width="100.140625" bestFit="1" customWidth="1"/>
  </cols>
  <sheetData>
    <row r="1" spans="1:2" ht="15">
      <c r="A1" s="122" t="s">
        <v>79</v>
      </c>
      <c r="B1" s="122"/>
    </row>
    <row r="2" spans="1:2">
      <c r="A2" s="4" t="s">
        <v>77</v>
      </c>
      <c r="B2" s="4" t="s">
        <v>78</v>
      </c>
    </row>
    <row r="3" spans="1:2" ht="15">
      <c r="A3" s="121" t="s">
        <v>80</v>
      </c>
      <c r="B3" t="str">
        <f ca="1">INDIRECT(ADDRESS(1,1,1,1,A3))</f>
        <v>PRICE AND DIVIDEND DATA FOR KELLOGG (K) 
2003-2013</v>
      </c>
    </row>
    <row r="4" spans="1:2" ht="15">
      <c r="A4" s="121" t="s">
        <v>81</v>
      </c>
      <c r="B4" t="str">
        <f t="shared" ref="B4:B13" ca="1" si="0">INDIRECT(ADDRESS(1,1,1,1,A4))</f>
        <v>EXXON (XOM) STOCK PRICES
Adjusted for dividends and splits</v>
      </c>
    </row>
    <row r="5" spans="1:2" ht="15">
      <c r="A5" s="121" t="s">
        <v>82</v>
      </c>
      <c r="B5" t="str">
        <f t="shared" ca="1" si="0"/>
        <v>KELLOGG (K) AND EXXON (XOM)
ANNUAL RETURN DATA</v>
      </c>
    </row>
    <row r="6" spans="1:2" ht="15">
      <c r="A6" s="121" t="s">
        <v>83</v>
      </c>
      <c r="B6" t="str">
        <f t="shared" ca="1" si="0"/>
        <v>KELLOGG (K) AND EXXON (XOM) 
ANNUAL RETURN DATA 
PERCENTAGE PRESENTED AS WHOLE NUMBERS</v>
      </c>
    </row>
    <row r="7" spans="1:2" ht="15">
      <c r="A7" s="121" t="s">
        <v>84</v>
      </c>
      <c r="B7" t="str">
        <f t="shared" ca="1" si="0"/>
        <v>CORRELATION +1
Adams Farm and Morgan Sausage Stocks
rMorgan Sausage,t = 3% + 0.6*rAdams Farm,t</v>
      </c>
    </row>
    <row r="8" spans="1:2" ht="15">
      <c r="A8" s="121" t="s">
        <v>85</v>
      </c>
      <c r="B8" t="str">
        <f t="shared" ca="1" si="0"/>
        <v>CALCULATING PORTFOLIO RETURNS 
AND STATISTICS (Kellogg and Exxon)</v>
      </c>
    </row>
    <row r="9" spans="1:2" ht="15">
      <c r="A9" s="121" t="s">
        <v>86</v>
      </c>
      <c r="B9" t="str">
        <f t="shared" ca="1" si="0"/>
        <v>CALCULATING PORTFOLIO RETURNS 
AND THEIR STATISTICS FROM THE FORMULAS</v>
      </c>
    </row>
    <row r="10" spans="1:2" ht="15">
      <c r="A10" s="121" t="s">
        <v>87</v>
      </c>
      <c r="B10" t="str">
        <f t="shared" ca="1" si="0"/>
        <v>MONTHLY RETURNS ON S&amp;P 500 AND IBM
January 2012 - December 2013</v>
      </c>
    </row>
    <row r="11" spans="1:2" ht="15">
      <c r="A11" s="121" t="s">
        <v>88</v>
      </c>
      <c r="B11" t="str">
        <f t="shared" ca="1" si="0"/>
        <v>MONTHLY RETURNS ON S&amp;P 500 AND IBM
January 2012 - December 2013</v>
      </c>
    </row>
    <row r="12" spans="1:2" ht="15">
      <c r="A12" s="121" t="s">
        <v>89</v>
      </c>
      <c r="B12" t="str">
        <f t="shared" ca="1" si="0"/>
        <v>RETURNS FOR 3 STOCKS</v>
      </c>
    </row>
    <row r="13" spans="1:2" ht="15">
      <c r="A13" s="121" t="s">
        <v>90</v>
      </c>
      <c r="B13" t="str">
        <f t="shared" ca="1" si="0"/>
        <v>STATISTICS FOR A THREE-STOCK PORTFOLIO</v>
      </c>
    </row>
  </sheetData>
  <mergeCells count="1">
    <mergeCell ref="A1:B1"/>
  </mergeCells>
  <hyperlinks>
    <hyperlink ref="A3" location="'Page 246'!A1" display="'Page 246'!A1"/>
    <hyperlink ref="A4" location="'Page 250'!A1" display="'Page 250'!A1"/>
    <hyperlink ref="A5" location="'Page 251'!A1" display="'Page 251'!A1"/>
    <hyperlink ref="A6" location="'Page 252'!A1" display="'Page 252'!A1"/>
    <hyperlink ref="A7" location="'Page 254'!A1" display="'Page 254'!A1"/>
    <hyperlink ref="A8" location="'Page 255'!A1" display="'Page 255'!A1"/>
    <hyperlink ref="A9" location="'Page 256'!A1" display="'Page 256'!A1"/>
    <hyperlink ref="A10" location="'Page 258'!A1" display="'Page 258'!A1"/>
    <hyperlink ref="A11" location="'Page 260+262'!A1" display="'Page 260+262'!A1"/>
    <hyperlink ref="A12" location="'Page 263'!A1" display="'Page 263'!A1"/>
    <hyperlink ref="A13" location="'Page 264'!A1" display="'Page 264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20"/>
  <sheetViews>
    <sheetView workbookViewId="0">
      <selection sqref="A1:E1"/>
    </sheetView>
  </sheetViews>
  <sheetFormatPr defaultRowHeight="12.75"/>
  <cols>
    <col min="1" max="1" width="10.28515625" style="3" customWidth="1"/>
    <col min="2" max="2" width="8.28515625" customWidth="1"/>
    <col min="3" max="3" width="10.7109375" customWidth="1"/>
    <col min="4" max="4" width="12.5703125" bestFit="1" customWidth="1"/>
    <col min="5" max="5" width="25" customWidth="1"/>
  </cols>
  <sheetData>
    <row r="1" spans="1:5" ht="35.25" customHeight="1">
      <c r="A1" s="123" t="s">
        <v>5</v>
      </c>
      <c r="B1" s="123"/>
      <c r="C1" s="123"/>
      <c r="D1" s="123"/>
      <c r="E1" s="123"/>
    </row>
    <row r="2" spans="1:5" s="39" customFormat="1" ht="30">
      <c r="A2" s="37" t="s">
        <v>0</v>
      </c>
      <c r="B2" s="37" t="s">
        <v>2</v>
      </c>
      <c r="C2" s="38" t="s">
        <v>3</v>
      </c>
      <c r="D2" s="38" t="s">
        <v>4</v>
      </c>
    </row>
    <row r="3" spans="1:5" s="42" customFormat="1" ht="14.25">
      <c r="A3" s="40">
        <v>37986</v>
      </c>
      <c r="B3" s="41">
        <v>38.08</v>
      </c>
    </row>
    <row r="4" spans="1:5" s="42" customFormat="1" ht="14.25">
      <c r="A4" s="40">
        <v>38352</v>
      </c>
      <c r="B4" s="41">
        <v>44.66</v>
      </c>
      <c r="C4" s="43">
        <v>1.012</v>
      </c>
      <c r="D4" s="44">
        <f>(C4+B4)/B3-1</f>
        <v>0.19936974789915962</v>
      </c>
      <c r="E4" s="42" t="e">
        <f ca="1">getformula(D4)</f>
        <v>#NAME?</v>
      </c>
    </row>
    <row r="5" spans="1:5" s="42" customFormat="1" ht="14.25">
      <c r="A5" s="40">
        <v>38717</v>
      </c>
      <c r="B5" s="41">
        <v>43.22</v>
      </c>
      <c r="C5" s="43">
        <v>1.0620000000000001</v>
      </c>
      <c r="D5" s="44">
        <f t="shared" ref="D5:D13" si="0">(C5+B5)/B4-1</f>
        <v>-8.4639498432601545E-3</v>
      </c>
    </row>
    <row r="6" spans="1:5" s="42" customFormat="1" ht="14.25">
      <c r="A6" s="40">
        <v>39082</v>
      </c>
      <c r="B6" s="41">
        <v>50.06</v>
      </c>
      <c r="C6" s="43">
        <v>1.1379999999999999</v>
      </c>
      <c r="D6" s="44">
        <f t="shared" si="0"/>
        <v>0.18459046737621465</v>
      </c>
    </row>
    <row r="7" spans="1:5" s="42" customFormat="1" ht="14.25">
      <c r="A7" s="40">
        <v>39447</v>
      </c>
      <c r="B7" s="41">
        <v>52.43</v>
      </c>
      <c r="C7" s="43">
        <v>1.202</v>
      </c>
      <c r="D7" s="44">
        <f t="shared" si="0"/>
        <v>7.1354374750299598E-2</v>
      </c>
    </row>
    <row r="8" spans="1:5" s="42" customFormat="1" ht="14.25">
      <c r="A8" s="40">
        <v>39813</v>
      </c>
      <c r="B8" s="41">
        <v>43.85</v>
      </c>
      <c r="C8" s="43">
        <v>1.3</v>
      </c>
      <c r="D8" s="44">
        <f t="shared" si="0"/>
        <v>-0.13885180240320427</v>
      </c>
    </row>
    <row r="9" spans="1:5" s="42" customFormat="1" ht="14.25">
      <c r="A9" s="40">
        <v>40178</v>
      </c>
      <c r="B9" s="41">
        <v>53.2</v>
      </c>
      <c r="C9" s="43">
        <v>1.4300000000000002</v>
      </c>
      <c r="D9" s="44">
        <f t="shared" si="0"/>
        <v>0.24583808437856325</v>
      </c>
    </row>
    <row r="10" spans="1:5" s="42" customFormat="1" ht="14.25">
      <c r="A10" s="40">
        <v>40543</v>
      </c>
      <c r="B10" s="41">
        <v>51.08</v>
      </c>
      <c r="C10" s="43">
        <v>1.56</v>
      </c>
      <c r="D10" s="44">
        <f t="shared" si="0"/>
        <v>-1.0526315789473717E-2</v>
      </c>
    </row>
    <row r="11" spans="1:5" s="42" customFormat="1" ht="14.25">
      <c r="A11" s="40">
        <v>40908</v>
      </c>
      <c r="B11" s="41">
        <v>50.57</v>
      </c>
      <c r="C11" s="43">
        <v>1.6700000000000002</v>
      </c>
      <c r="D11" s="44">
        <f t="shared" si="0"/>
        <v>2.2709475332811424E-2</v>
      </c>
    </row>
    <row r="12" spans="1:5" s="42" customFormat="1" ht="14.25">
      <c r="A12" s="40">
        <v>41274</v>
      </c>
      <c r="B12" s="41">
        <v>55.85</v>
      </c>
      <c r="C12" s="43">
        <v>1.74</v>
      </c>
      <c r="D12" s="44">
        <f t="shared" si="0"/>
        <v>0.13881748071979438</v>
      </c>
    </row>
    <row r="13" spans="1:5" s="42" customFormat="1" ht="14.25">
      <c r="A13" s="40">
        <v>41639</v>
      </c>
      <c r="B13" s="41">
        <v>61.07</v>
      </c>
      <c r="C13" s="43">
        <v>1.8</v>
      </c>
      <c r="D13" s="44">
        <f t="shared" si="0"/>
        <v>0.1256938227394806</v>
      </c>
    </row>
    <row r="14" spans="1:5" s="42" customFormat="1" ht="14.25">
      <c r="A14" s="45"/>
    </row>
    <row r="15" spans="1:5" s="42" customFormat="1" ht="18.75">
      <c r="A15" s="46" t="s">
        <v>74</v>
      </c>
      <c r="B15" s="47"/>
      <c r="C15" s="47"/>
      <c r="D15" s="48">
        <f>AVERAGE(D4:D13)</f>
        <v>8.3053138516038544E-2</v>
      </c>
      <c r="E15" s="42" t="e">
        <f ca="1">getformula(D15)</f>
        <v>#NAME?</v>
      </c>
    </row>
    <row r="16" spans="1:5" s="42" customFormat="1" ht="18.75">
      <c r="A16" s="46" t="s">
        <v>50</v>
      </c>
      <c r="B16" s="47"/>
      <c r="C16" s="47"/>
      <c r="D16" s="118">
        <f>_xlfn.VAR.S(D4:D13)</f>
        <v>1.3935413830738022E-2</v>
      </c>
      <c r="E16" s="42" t="e">
        <f ca="1">getformula(D16)</f>
        <v>#NAME?</v>
      </c>
    </row>
    <row r="17" spans="1:5" s="42" customFormat="1" ht="18.75">
      <c r="A17" s="46" t="s">
        <v>65</v>
      </c>
      <c r="B17" s="47"/>
      <c r="C17" s="47"/>
      <c r="D17" s="49">
        <f>_xlfn.STDEV.S(D4:D13)</f>
        <v>0.11804835378241418</v>
      </c>
      <c r="E17" s="42" t="e">
        <f ca="1">getformula(D17)</f>
        <v>#NAME?</v>
      </c>
    </row>
    <row r="18" spans="1:5" s="42" customFormat="1" ht="14.25">
      <c r="A18" s="45"/>
    </row>
    <row r="19" spans="1:5" s="42" customFormat="1" ht="14.25">
      <c r="E19" s="50"/>
    </row>
    <row r="20" spans="1:5" s="42" customFormat="1" ht="14.25">
      <c r="A20" s="45"/>
    </row>
  </sheetData>
  <mergeCells count="1">
    <mergeCell ref="A1:E1"/>
  </mergeCells>
  <printOptions headings="1" gridLines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19"/>
  <sheetViews>
    <sheetView workbookViewId="0">
      <selection sqref="A1:D1"/>
    </sheetView>
  </sheetViews>
  <sheetFormatPr defaultRowHeight="12.75"/>
  <cols>
    <col min="1" max="1" width="24.42578125" style="3" customWidth="1"/>
    <col min="2" max="2" width="8.85546875" bestFit="1" customWidth="1"/>
    <col min="3" max="3" width="12.5703125" bestFit="1" customWidth="1"/>
    <col min="4" max="4" width="22.140625" bestFit="1" customWidth="1"/>
    <col min="5" max="5" width="25" customWidth="1"/>
    <col min="6" max="6" width="7.5703125" bestFit="1" customWidth="1"/>
  </cols>
  <sheetData>
    <row r="1" spans="1:6" ht="35.25" customHeight="1">
      <c r="A1" s="123" t="s">
        <v>6</v>
      </c>
      <c r="B1" s="123"/>
      <c r="C1" s="123"/>
      <c r="D1" s="123"/>
      <c r="E1" s="7"/>
    </row>
    <row r="2" spans="1:6" s="39" customFormat="1" ht="30">
      <c r="A2" s="37" t="s">
        <v>0</v>
      </c>
      <c r="B2" s="37" t="s">
        <v>2</v>
      </c>
      <c r="C2" s="38" t="s">
        <v>4</v>
      </c>
    </row>
    <row r="3" spans="1:6" s="42" customFormat="1" ht="14.25">
      <c r="A3" s="40">
        <v>37986</v>
      </c>
      <c r="B3" s="41">
        <v>32.32</v>
      </c>
    </row>
    <row r="4" spans="1:6" s="42" customFormat="1" ht="14.25">
      <c r="A4" s="40">
        <v>38352</v>
      </c>
      <c r="B4" s="41">
        <v>41.38</v>
      </c>
      <c r="C4" s="44">
        <f>B4/B3-1</f>
        <v>0.28032178217821779</v>
      </c>
      <c r="D4" s="42" t="e">
        <f ca="1">getformula(C4)</f>
        <v>#NAME?</v>
      </c>
      <c r="E4" s="41"/>
    </row>
    <row r="5" spans="1:6" s="42" customFormat="1" ht="14.25">
      <c r="A5" s="40">
        <v>38717</v>
      </c>
      <c r="B5" s="41">
        <v>46.26</v>
      </c>
      <c r="C5" s="44">
        <f t="shared" ref="C5:C13" si="0">B5/B4-1</f>
        <v>0.11793136781053648</v>
      </c>
      <c r="F5" s="44"/>
    </row>
    <row r="6" spans="1:6" s="42" customFormat="1" ht="14.25">
      <c r="A6" s="40">
        <v>39082</v>
      </c>
      <c r="B6" s="41">
        <v>64.34</v>
      </c>
      <c r="C6" s="44">
        <f t="shared" si="0"/>
        <v>0.39083441418071785</v>
      </c>
    </row>
    <row r="7" spans="1:6" s="42" customFormat="1" ht="14.25">
      <c r="A7" s="40">
        <v>39447</v>
      </c>
      <c r="B7" s="41">
        <v>79.97</v>
      </c>
      <c r="C7" s="44">
        <f t="shared" si="0"/>
        <v>0.24292819396953669</v>
      </c>
    </row>
    <row r="8" spans="1:6" s="42" customFormat="1" ht="14.25">
      <c r="A8" s="40">
        <v>39813</v>
      </c>
      <c r="B8" s="41">
        <v>69.489999999999995</v>
      </c>
      <c r="C8" s="44">
        <f t="shared" si="0"/>
        <v>-0.13104914342878582</v>
      </c>
    </row>
    <row r="9" spans="1:6" s="42" customFormat="1" ht="14.25">
      <c r="A9" s="40">
        <v>40178</v>
      </c>
      <c r="B9" s="41">
        <v>60.73</v>
      </c>
      <c r="C9" s="44">
        <f t="shared" si="0"/>
        <v>-0.12606130378471725</v>
      </c>
    </row>
    <row r="10" spans="1:6" s="42" customFormat="1" ht="14.25">
      <c r="A10" s="40">
        <v>40543</v>
      </c>
      <c r="B10" s="41">
        <v>66.88</v>
      </c>
      <c r="C10" s="44">
        <f t="shared" si="0"/>
        <v>0.1012679071299194</v>
      </c>
    </row>
    <row r="11" spans="1:6" s="42" customFormat="1" ht="14.25">
      <c r="A11" s="40">
        <v>40908</v>
      </c>
      <c r="B11" s="41">
        <v>79.36</v>
      </c>
      <c r="C11" s="44">
        <f t="shared" si="0"/>
        <v>0.1866028708133971</v>
      </c>
      <c r="D11" s="42" t="s">
        <v>54</v>
      </c>
    </row>
    <row r="12" spans="1:6" s="42" customFormat="1" ht="14.25">
      <c r="A12" s="40">
        <v>41274</v>
      </c>
      <c r="B12" s="41">
        <v>83.09</v>
      </c>
      <c r="C12" s="44">
        <f t="shared" si="0"/>
        <v>4.7001008064516236E-2</v>
      </c>
    </row>
    <row r="13" spans="1:6" s="42" customFormat="1" ht="14.25">
      <c r="A13" s="40">
        <v>41639</v>
      </c>
      <c r="B13" s="41">
        <v>99.81</v>
      </c>
      <c r="C13" s="44">
        <f t="shared" si="0"/>
        <v>0.20122758454687695</v>
      </c>
    </row>
    <row r="14" spans="1:6" s="42" customFormat="1" ht="14.25">
      <c r="A14" s="45"/>
    </row>
    <row r="15" spans="1:6" s="42" customFormat="1" ht="18.75">
      <c r="A15" s="46" t="s">
        <v>51</v>
      </c>
      <c r="B15" s="47"/>
      <c r="C15" s="48">
        <f>AVERAGE(C4:C13)</f>
        <v>0.13110046814802154</v>
      </c>
      <c r="D15" s="42" t="e">
        <f ca="1">getformula(C15)</f>
        <v>#NAME?</v>
      </c>
    </row>
    <row r="16" spans="1:6" s="42" customFormat="1" ht="18.75">
      <c r="A16" s="46" t="s">
        <v>53</v>
      </c>
      <c r="B16" s="47"/>
      <c r="C16" s="118">
        <f>_xlfn.VAR.S(C4:C13)</f>
        <v>2.8135912731273964E-2</v>
      </c>
      <c r="D16" s="42" t="e">
        <f ca="1">getformula(C16)</f>
        <v>#NAME?</v>
      </c>
    </row>
    <row r="17" spans="1:4" s="42" customFormat="1" ht="18.75">
      <c r="A17" s="46" t="s">
        <v>52</v>
      </c>
      <c r="B17" s="47"/>
      <c r="C17" s="49">
        <f>_xlfn.STDEV.S(C4:C13)</f>
        <v>0.16773763063568642</v>
      </c>
      <c r="D17" s="42" t="e">
        <f ca="1">getformula(C17)</f>
        <v>#NAME?</v>
      </c>
    </row>
    <row r="18" spans="1:4" s="42" customFormat="1" ht="14.25">
      <c r="A18" s="45"/>
    </row>
    <row r="19" spans="1:4" s="42" customFormat="1" ht="14.25">
      <c r="A19" s="45"/>
    </row>
  </sheetData>
  <mergeCells count="1">
    <mergeCell ref="A1:D1"/>
  </mergeCells>
  <printOptions headings="1" gridLines="1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21"/>
  <sheetViews>
    <sheetView workbookViewId="0">
      <selection sqref="A1:D1"/>
    </sheetView>
  </sheetViews>
  <sheetFormatPr defaultRowHeight="12.75"/>
  <cols>
    <col min="1" max="1" width="32.42578125" style="3" customWidth="1"/>
    <col min="2" max="2" width="11.42578125" style="3" customWidth="1"/>
    <col min="3" max="3" width="9.85546875" style="3" bestFit="1" customWidth="1"/>
    <col min="4" max="4" width="26" customWidth="1"/>
    <col min="5" max="5" width="25" customWidth="1"/>
    <col min="6" max="6" width="7.5703125" bestFit="1" customWidth="1"/>
  </cols>
  <sheetData>
    <row r="1" spans="1:7" ht="39" customHeight="1">
      <c r="A1" s="124" t="s">
        <v>7</v>
      </c>
      <c r="B1" s="124"/>
      <c r="C1" s="124"/>
      <c r="D1" s="124"/>
      <c r="E1" s="7"/>
    </row>
    <row r="2" spans="1:7" s="42" customFormat="1" ht="15">
      <c r="A2" s="51" t="s">
        <v>0</v>
      </c>
      <c r="B2" s="51" t="s">
        <v>9</v>
      </c>
      <c r="C2" s="52" t="s">
        <v>8</v>
      </c>
      <c r="D2" s="53"/>
    </row>
    <row r="3" spans="1:7" s="42" customFormat="1" ht="14.25">
      <c r="A3" s="120">
        <v>38352</v>
      </c>
      <c r="B3" s="54">
        <f>VLOOKUP($A3,'Page 246'!$A$3:$D$13,4,0)</f>
        <v>0.19936974789915962</v>
      </c>
      <c r="C3" s="54">
        <f>VLOOKUP(A3,'Page 250'!$A$3:$C$13,3,0)</f>
        <v>0.28032178217821779</v>
      </c>
      <c r="D3" s="44"/>
      <c r="F3" s="41"/>
    </row>
    <row r="4" spans="1:7" s="42" customFormat="1" ht="14.25">
      <c r="A4" s="120">
        <v>38717</v>
      </c>
      <c r="B4" s="54">
        <f>VLOOKUP($A4,'Page 246'!$A$3:$D$13,4,0)</f>
        <v>-8.4639498432601545E-3</v>
      </c>
      <c r="C4" s="54">
        <f>VLOOKUP(A4,'Page 250'!$A$3:$C$13,3,0)</f>
        <v>0.11793136781053648</v>
      </c>
      <c r="D4" s="44"/>
      <c r="G4" s="44"/>
    </row>
    <row r="5" spans="1:7" s="42" customFormat="1" ht="14.25">
      <c r="A5" s="120">
        <v>39082</v>
      </c>
      <c r="B5" s="54">
        <f>VLOOKUP($A5,'Page 246'!$A$3:$D$13,4,0)</f>
        <v>0.18459046737621465</v>
      </c>
      <c r="C5" s="54">
        <f>VLOOKUP(A5,'Page 250'!$A$3:$C$13,3,0)</f>
        <v>0.39083441418071785</v>
      </c>
      <c r="D5" s="44"/>
    </row>
    <row r="6" spans="1:7" s="42" customFormat="1" ht="14.25">
      <c r="A6" s="120">
        <v>39447</v>
      </c>
      <c r="B6" s="54">
        <f>VLOOKUP($A6,'Page 246'!$A$3:$D$13,4,0)</f>
        <v>7.1354374750299598E-2</v>
      </c>
      <c r="C6" s="54">
        <f>VLOOKUP(A6,'Page 250'!$A$3:$C$13,3,0)</f>
        <v>0.24292819396953669</v>
      </c>
      <c r="D6" s="44"/>
    </row>
    <row r="7" spans="1:7" s="42" customFormat="1" ht="14.25">
      <c r="A7" s="120">
        <v>39813</v>
      </c>
      <c r="B7" s="54">
        <f>VLOOKUP($A7,'Page 246'!$A$3:$D$13,4,0)</f>
        <v>-0.13885180240320427</v>
      </c>
      <c r="C7" s="54">
        <f>VLOOKUP(A7,'Page 250'!$A$3:$C$13,3,0)</f>
        <v>-0.13104914342878582</v>
      </c>
      <c r="D7" s="44"/>
    </row>
    <row r="8" spans="1:7" s="42" customFormat="1" ht="14.25">
      <c r="A8" s="120">
        <v>40178</v>
      </c>
      <c r="B8" s="54">
        <f>VLOOKUP($A8,'Page 246'!$A$3:$D$13,4,0)</f>
        <v>0.24583808437856325</v>
      </c>
      <c r="C8" s="54">
        <f>VLOOKUP(A8,'Page 250'!$A$3:$C$13,3,0)</f>
        <v>-0.12606130378471725</v>
      </c>
      <c r="D8" s="44"/>
    </row>
    <row r="9" spans="1:7" s="42" customFormat="1" ht="14.25">
      <c r="A9" s="120">
        <v>40543</v>
      </c>
      <c r="B9" s="54">
        <f>VLOOKUP($A9,'Page 246'!$A$3:$D$13,4,0)</f>
        <v>-1.0526315789473717E-2</v>
      </c>
      <c r="C9" s="54">
        <f>VLOOKUP(A9,'Page 250'!$A$3:$C$13,3,0)</f>
        <v>0.1012679071299194</v>
      </c>
      <c r="D9" s="44"/>
    </row>
    <row r="10" spans="1:7" s="42" customFormat="1" ht="14.25">
      <c r="A10" s="120">
        <v>40908</v>
      </c>
      <c r="B10" s="54">
        <f>VLOOKUP($A10,'Page 246'!$A$3:$D$13,4,0)</f>
        <v>2.2709475332811424E-2</v>
      </c>
      <c r="C10" s="54">
        <f>VLOOKUP(A10,'Page 250'!$A$3:$C$13,3,0)</f>
        <v>0.1866028708133971</v>
      </c>
      <c r="D10" s="44"/>
    </row>
    <row r="11" spans="1:7" s="42" customFormat="1" ht="14.25">
      <c r="A11" s="120">
        <v>41274</v>
      </c>
      <c r="B11" s="54">
        <f>VLOOKUP($A11,'Page 246'!$A$3:$D$13,4,0)</f>
        <v>0.13881748071979438</v>
      </c>
      <c r="C11" s="54">
        <f>VLOOKUP(A11,'Page 250'!$A$3:$C$13,3,0)</f>
        <v>4.7001008064516236E-2</v>
      </c>
      <c r="D11" s="44"/>
    </row>
    <row r="12" spans="1:7" s="42" customFormat="1" ht="14.25">
      <c r="A12" s="120">
        <v>41639</v>
      </c>
      <c r="B12" s="54">
        <f>VLOOKUP($A12,'Page 246'!$A$3:$D$13,4,0)</f>
        <v>0.1256938227394806</v>
      </c>
      <c r="C12" s="54">
        <f>VLOOKUP(A12,'Page 250'!$A$3:$C$13,3,0)</f>
        <v>0.20122758454687695</v>
      </c>
      <c r="D12" s="44"/>
    </row>
    <row r="13" spans="1:7" s="42" customFormat="1" ht="14.25">
      <c r="A13" s="45"/>
      <c r="B13" s="45"/>
      <c r="C13" s="45"/>
    </row>
    <row r="14" spans="1:7" s="42" customFormat="1" ht="18.75">
      <c r="A14" s="55" t="s">
        <v>55</v>
      </c>
      <c r="B14" s="56">
        <f t="shared" ref="B14:C14" si="0">AVERAGE(B3:B12)</f>
        <v>8.3053138516038544E-2</v>
      </c>
      <c r="C14" s="56">
        <f t="shared" si="0"/>
        <v>0.13110046814802154</v>
      </c>
      <c r="D14" s="42" t="e">
        <f ca="1">getformula(C14)</f>
        <v>#NAME?</v>
      </c>
    </row>
    <row r="15" spans="1:7" s="42" customFormat="1" ht="18.75">
      <c r="A15" s="55" t="s">
        <v>60</v>
      </c>
      <c r="B15" s="60">
        <f>_xlfn.VAR.S(B3:B12)</f>
        <v>1.3935413830738022E-2</v>
      </c>
      <c r="C15" s="60">
        <f>_xlfn.VAR.S(C3:C12)</f>
        <v>2.8135912731273964E-2</v>
      </c>
      <c r="D15" s="42" t="e">
        <f ca="1">getformula(C15)</f>
        <v>#NAME?</v>
      </c>
    </row>
    <row r="16" spans="1:7" s="42" customFormat="1" ht="18.75">
      <c r="A16" s="55" t="s">
        <v>61</v>
      </c>
      <c r="B16" s="57">
        <f>_xlfn.STDEV.S(B3:B12)</f>
        <v>0.11804835378241418</v>
      </c>
      <c r="C16" s="57">
        <f>_xlfn.STDEV.S(C3:C12)</f>
        <v>0.16773763063568642</v>
      </c>
      <c r="D16" s="42" t="e">
        <f ca="1">getformula(C16)</f>
        <v>#NAME?</v>
      </c>
    </row>
    <row r="17" spans="1:3" s="42" customFormat="1" ht="18.75">
      <c r="A17" s="46" t="s">
        <v>66</v>
      </c>
      <c r="B17" s="61">
        <f>_xlfn.COVARIANCE.S(B3:B12,C3:C12)</f>
        <v>6.4088669502678922E-3</v>
      </c>
      <c r="C17" s="50" t="e">
        <f ca="1">getformula(B17)</f>
        <v>#NAME?</v>
      </c>
    </row>
    <row r="18" spans="1:3" s="42" customFormat="1" ht="18.75">
      <c r="A18" s="46" t="s">
        <v>67</v>
      </c>
      <c r="B18" s="61">
        <f>CORREL(B3:B12,C3:C12)</f>
        <v>0.32366133146593562</v>
      </c>
      <c r="C18" s="50" t="e">
        <f t="shared" ref="C18:C19" ca="1" si="1">getformula(B18)</f>
        <v>#NAME?</v>
      </c>
    </row>
    <row r="19" spans="1:3" s="42" customFormat="1" ht="18.75">
      <c r="A19" s="46" t="s">
        <v>67</v>
      </c>
      <c r="B19" s="61">
        <f>B17/(B16*C16)</f>
        <v>0.32366133146593568</v>
      </c>
      <c r="C19" s="50" t="e">
        <f t="shared" ca="1" si="1"/>
        <v>#NAME?</v>
      </c>
    </row>
    <row r="20" spans="1:3" s="42" customFormat="1" ht="14.25">
      <c r="A20" s="45"/>
      <c r="B20" s="45"/>
      <c r="C20" s="45"/>
    </row>
    <row r="21" spans="1:3" s="58" customFormat="1" ht="15.75">
      <c r="A21" s="59"/>
      <c r="B21" s="59"/>
      <c r="C21" s="59"/>
    </row>
  </sheetData>
  <mergeCells count="1">
    <mergeCell ref="A1:D1"/>
  </mergeCells>
  <printOptions headings="1" gridLines="1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G19"/>
  <sheetViews>
    <sheetView workbookViewId="0">
      <selection sqref="A1:D1"/>
    </sheetView>
  </sheetViews>
  <sheetFormatPr defaultRowHeight="12.75"/>
  <cols>
    <col min="1" max="1" width="30.85546875" style="3" bestFit="1" customWidth="1"/>
    <col min="2" max="2" width="8.42578125" style="3" bestFit="1" customWidth="1"/>
    <col min="3" max="3" width="8.85546875" style="3" bestFit="1" customWidth="1"/>
    <col min="4" max="4" width="32.5703125" bestFit="1" customWidth="1"/>
    <col min="5" max="5" width="25" customWidth="1"/>
    <col min="6" max="6" width="7.5703125" bestFit="1" customWidth="1"/>
  </cols>
  <sheetData>
    <row r="1" spans="1:7" ht="60.4" customHeight="1">
      <c r="A1" s="124" t="s">
        <v>12</v>
      </c>
      <c r="B1" s="124"/>
      <c r="C1" s="124"/>
      <c r="D1" s="124"/>
      <c r="E1" s="7"/>
    </row>
    <row r="2" spans="1:7">
      <c r="A2" s="6" t="s">
        <v>0</v>
      </c>
      <c r="B2" s="6" t="s">
        <v>9</v>
      </c>
      <c r="C2" s="9" t="s">
        <v>8</v>
      </c>
      <c r="D2" s="4"/>
    </row>
    <row r="3" spans="1:7">
      <c r="A3" s="119">
        <v>38352</v>
      </c>
      <c r="B3" s="10">
        <f>VLOOKUP($A3,'Page 246'!$A$3:$D$13,4,0)*100</f>
        <v>19.936974789915961</v>
      </c>
      <c r="C3" s="10">
        <f>VLOOKUP(A3,'Page 250'!$A$3:$C$13,3,0)*100</f>
        <v>28.03217821782178</v>
      </c>
      <c r="D3" s="5"/>
      <c r="F3" s="1"/>
    </row>
    <row r="4" spans="1:7">
      <c r="A4" s="119">
        <v>38717</v>
      </c>
      <c r="B4" s="10">
        <f>VLOOKUP($A4,'Page 246'!$A$3:$D$13,4,0)*100</f>
        <v>-0.84639498432601545</v>
      </c>
      <c r="C4" s="10">
        <f>VLOOKUP(A4,'Page 250'!$A$3:$C$13,3,0)*100</f>
        <v>11.793136781053647</v>
      </c>
      <c r="D4" s="5"/>
      <c r="G4" s="5"/>
    </row>
    <row r="5" spans="1:7">
      <c r="A5" s="119">
        <v>39082</v>
      </c>
      <c r="B5" s="10">
        <f>VLOOKUP($A5,'Page 246'!$A$3:$D$13,4,0)*100</f>
        <v>18.459046737621463</v>
      </c>
      <c r="C5" s="10">
        <f>VLOOKUP(A5,'Page 250'!$A$3:$C$13,3,0)*100</f>
        <v>39.083441418071786</v>
      </c>
      <c r="D5" s="5"/>
    </row>
    <row r="6" spans="1:7">
      <c r="A6" s="119">
        <v>39447</v>
      </c>
      <c r="B6" s="10">
        <f>VLOOKUP($A6,'Page 246'!$A$3:$D$13,4,0)*100</f>
        <v>7.1354374750299598</v>
      </c>
      <c r="C6" s="10">
        <f>VLOOKUP(A6,'Page 250'!$A$3:$C$13,3,0)*100</f>
        <v>24.292819396953668</v>
      </c>
      <c r="D6" s="5"/>
    </row>
    <row r="7" spans="1:7">
      <c r="A7" s="119">
        <v>39813</v>
      </c>
      <c r="B7" s="10">
        <f>VLOOKUP($A7,'Page 246'!$A$3:$D$13,4,0)*100</f>
        <v>-13.885180240320427</v>
      </c>
      <c r="C7" s="10">
        <f>VLOOKUP(A7,'Page 250'!$A$3:$C$13,3,0)*100</f>
        <v>-13.104914342878581</v>
      </c>
      <c r="D7" s="5"/>
    </row>
    <row r="8" spans="1:7">
      <c r="A8" s="119">
        <v>40178</v>
      </c>
      <c r="B8" s="10">
        <f>VLOOKUP($A8,'Page 246'!$A$3:$D$13,4,0)*100</f>
        <v>24.583808437856327</v>
      </c>
      <c r="C8" s="10">
        <f>VLOOKUP(A8,'Page 250'!$A$3:$C$13,3,0)*100</f>
        <v>-12.606130378471725</v>
      </c>
      <c r="D8" s="5"/>
    </row>
    <row r="9" spans="1:7">
      <c r="A9" s="119">
        <v>40543</v>
      </c>
      <c r="B9" s="10">
        <f>VLOOKUP($A9,'Page 246'!$A$3:$D$13,4,0)*100</f>
        <v>-1.0526315789473717</v>
      </c>
      <c r="C9" s="10">
        <f>VLOOKUP(A9,'Page 250'!$A$3:$C$13,3,0)*100</f>
        <v>10.126790712991941</v>
      </c>
      <c r="D9" s="5"/>
    </row>
    <row r="10" spans="1:7">
      <c r="A10" s="119">
        <v>40908</v>
      </c>
      <c r="B10" s="10">
        <f>VLOOKUP($A10,'Page 246'!$A$3:$D$13,4,0)*100</f>
        <v>2.2709475332811424</v>
      </c>
      <c r="C10" s="10">
        <f>VLOOKUP(A10,'Page 250'!$A$3:$C$13,3,0)*100</f>
        <v>18.66028708133971</v>
      </c>
      <c r="D10" s="5"/>
    </row>
    <row r="11" spans="1:7">
      <c r="A11" s="119">
        <v>41274</v>
      </c>
      <c r="B11" s="10">
        <f>VLOOKUP($A11,'Page 246'!$A$3:$D$13,4,0)*100</f>
        <v>13.881748071979437</v>
      </c>
      <c r="C11" s="10">
        <f>VLOOKUP(A11,'Page 250'!$A$3:$C$13,3,0)*100</f>
        <v>4.7001008064516236</v>
      </c>
      <c r="D11" s="5"/>
    </row>
    <row r="12" spans="1:7">
      <c r="A12" s="119">
        <v>41639</v>
      </c>
      <c r="B12" s="10">
        <f>VLOOKUP($A12,'Page 246'!$A$3:$D$13,4,0)*100</f>
        <v>12.56938227394806</v>
      </c>
      <c r="C12" s="10">
        <f>VLOOKUP(A12,'Page 250'!$A$3:$C$13,3,0)*100</f>
        <v>20.122758454687695</v>
      </c>
      <c r="D12" s="5"/>
    </row>
    <row r="14" spans="1:7">
      <c r="A14" s="8" t="s">
        <v>10</v>
      </c>
      <c r="B14" s="11">
        <f t="shared" ref="B14:C14" si="0">AVERAGE(B3:B12)</f>
        <v>8.3053138516038558</v>
      </c>
      <c r="C14" s="11">
        <f t="shared" si="0"/>
        <v>13.110046814802155</v>
      </c>
      <c r="D14" t="e">
        <f ca="1">getformula(C14)</f>
        <v>#NAME?</v>
      </c>
    </row>
    <row r="15" spans="1:7" ht="15.75">
      <c r="A15" s="8" t="s">
        <v>11</v>
      </c>
      <c r="B15" s="11">
        <f t="shared" ref="B15:C15" si="1">_xlfn.VAR.P(B3:B12)</f>
        <v>125.41872447664214</v>
      </c>
      <c r="C15" s="11">
        <f t="shared" si="1"/>
        <v>253.22321458146564</v>
      </c>
      <c r="D15" t="e">
        <f ca="1">getformula(C15)</f>
        <v>#NAME?</v>
      </c>
    </row>
    <row r="16" spans="1:7" ht="18.75">
      <c r="A16" s="46" t="s">
        <v>68</v>
      </c>
      <c r="B16" s="11">
        <f t="shared" ref="B16:C16" si="2">_xlfn.STDEV.P(B3:B12)</f>
        <v>11.199050159573451</v>
      </c>
      <c r="C16" s="11">
        <f t="shared" si="2"/>
        <v>15.912988863864188</v>
      </c>
      <c r="D16" t="e">
        <f ca="1">getformula(C16)</f>
        <v>#NAME?</v>
      </c>
    </row>
    <row r="17" spans="1:4" ht="18.75">
      <c r="A17" s="46" t="s">
        <v>66</v>
      </c>
      <c r="B17" s="12">
        <f>_xlfn.COVARIANCE.S(B3:B12,C3:C12)</f>
        <v>64.088669502678911</v>
      </c>
      <c r="D17" t="e">
        <f ca="1">getformula(B17)</f>
        <v>#NAME?</v>
      </c>
    </row>
    <row r="18" spans="1:4" ht="18.75">
      <c r="A18" s="46" t="s">
        <v>67</v>
      </c>
      <c r="B18" s="70">
        <f>CORREL(B3:B12,C3:C12)</f>
        <v>0.32366133146593556</v>
      </c>
      <c r="D18" t="e">
        <f ca="1">getformula(B18)</f>
        <v>#NAME?</v>
      </c>
    </row>
    <row r="19" spans="1:4" ht="18.75">
      <c r="A19" s="46" t="s">
        <v>67</v>
      </c>
      <c r="B19" s="70">
        <f>B17/(B16*C16)</f>
        <v>0.35962370162881746</v>
      </c>
      <c r="D19" t="e">
        <f ca="1">getformula(B19)</f>
        <v>#NAME?</v>
      </c>
    </row>
  </sheetData>
  <mergeCells count="1">
    <mergeCell ref="A1:D1"/>
  </mergeCells>
  <printOptions headings="1" gridLines="1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14"/>
  <sheetViews>
    <sheetView topLeftCell="A7" workbookViewId="0">
      <selection activeCell="F24" sqref="F24"/>
    </sheetView>
  </sheetViews>
  <sheetFormatPr defaultColWidth="8.85546875" defaultRowHeight="12.75"/>
  <cols>
    <col min="1" max="1" width="10.28515625" style="13" customWidth="1"/>
    <col min="2" max="3" width="11.28515625" style="13" customWidth="1"/>
    <col min="4" max="4" width="27.140625" style="13" bestFit="1" customWidth="1"/>
    <col min="5" max="16384" width="8.85546875" style="13"/>
  </cols>
  <sheetData>
    <row r="1" spans="1:5" ht="61.5" customHeight="1">
      <c r="A1" s="125" t="s">
        <v>13</v>
      </c>
      <c r="B1" s="125"/>
      <c r="C1" s="125"/>
      <c r="D1" s="125"/>
    </row>
    <row r="2" spans="1:5" ht="51">
      <c r="A2" s="14" t="s">
        <v>1</v>
      </c>
      <c r="B2" s="15" t="s">
        <v>14</v>
      </c>
      <c r="C2" s="15" t="s">
        <v>15</v>
      </c>
    </row>
    <row r="3" spans="1:5">
      <c r="A3" s="16">
        <v>2004</v>
      </c>
      <c r="B3" s="17">
        <v>0.30730000000000002</v>
      </c>
      <c r="C3" s="18">
        <f>3%+0.6*B3</f>
        <v>0.21438000000000001</v>
      </c>
      <c r="D3" s="13" t="e">
        <f ca="1">getformula(C3)</f>
        <v>#NAME?</v>
      </c>
      <c r="E3" s="18"/>
    </row>
    <row r="4" spans="1:5">
      <c r="A4" s="16">
        <f>A3+1</f>
        <v>2005</v>
      </c>
      <c r="B4" s="17">
        <v>0.55210000000000004</v>
      </c>
      <c r="C4" s="18">
        <f t="shared" ref="C4:C12" si="0">3%+0.6*B4</f>
        <v>0.36126000000000003</v>
      </c>
      <c r="E4" s="18"/>
    </row>
    <row r="5" spans="1:5">
      <c r="A5" s="16">
        <f t="shared" ref="A5:A12" si="1">A4+1</f>
        <v>2006</v>
      </c>
      <c r="B5" s="17">
        <v>0.15820000000000001</v>
      </c>
      <c r="C5" s="18">
        <f t="shared" si="0"/>
        <v>0.12492</v>
      </c>
      <c r="E5" s="18"/>
    </row>
    <row r="6" spans="1:5">
      <c r="A6" s="16">
        <f t="shared" si="1"/>
        <v>2007</v>
      </c>
      <c r="B6" s="17">
        <v>0.33539999999999998</v>
      </c>
      <c r="C6" s="18">
        <f t="shared" si="0"/>
        <v>0.23123999999999997</v>
      </c>
      <c r="E6" s="18"/>
    </row>
    <row r="7" spans="1:5">
      <c r="A7" s="16">
        <f t="shared" si="1"/>
        <v>2008</v>
      </c>
      <c r="B7" s="17">
        <v>0.14929999999999999</v>
      </c>
      <c r="C7" s="18">
        <f t="shared" si="0"/>
        <v>0.11957999999999999</v>
      </c>
      <c r="E7" s="18"/>
    </row>
    <row r="8" spans="1:5">
      <c r="A8" s="16">
        <f t="shared" si="1"/>
        <v>2009</v>
      </c>
      <c r="B8" s="17">
        <v>0.3584</v>
      </c>
      <c r="C8" s="18">
        <f t="shared" si="0"/>
        <v>0.24503999999999998</v>
      </c>
      <c r="E8" s="18"/>
    </row>
    <row r="9" spans="1:5">
      <c r="A9" s="16">
        <f t="shared" si="1"/>
        <v>2010</v>
      </c>
      <c r="B9" s="17">
        <v>0.4839</v>
      </c>
      <c r="C9" s="18">
        <f t="shared" si="0"/>
        <v>0.32033999999999996</v>
      </c>
      <c r="E9" s="18"/>
    </row>
    <row r="10" spans="1:5">
      <c r="A10" s="16">
        <f t="shared" si="1"/>
        <v>2011</v>
      </c>
      <c r="B10" s="17">
        <v>0.37709999999999999</v>
      </c>
      <c r="C10" s="18">
        <f t="shared" si="0"/>
        <v>0.25625999999999999</v>
      </c>
      <c r="E10" s="18"/>
    </row>
    <row r="11" spans="1:5">
      <c r="A11" s="16">
        <f t="shared" si="1"/>
        <v>2012</v>
      </c>
      <c r="B11" s="17">
        <v>0.67849999999999999</v>
      </c>
      <c r="C11" s="18">
        <f t="shared" si="0"/>
        <v>0.43709999999999993</v>
      </c>
      <c r="E11" s="18"/>
    </row>
    <row r="12" spans="1:5">
      <c r="A12" s="16">
        <f t="shared" si="1"/>
        <v>2013</v>
      </c>
      <c r="B12" s="17">
        <v>0.44850000000000001</v>
      </c>
      <c r="C12" s="18">
        <f t="shared" si="0"/>
        <v>0.29910000000000003</v>
      </c>
      <c r="E12" s="18"/>
    </row>
    <row r="14" spans="1:5">
      <c r="A14" s="19" t="s">
        <v>16</v>
      </c>
      <c r="B14" s="19"/>
      <c r="C14" s="20">
        <f>CORREL(B3:B12,C3:C12)</f>
        <v>0.99999999999999989</v>
      </c>
      <c r="D14" s="13" t="e">
        <f ca="1">getformula(C14)</f>
        <v>#NAME?</v>
      </c>
    </row>
  </sheetData>
  <mergeCells count="1">
    <mergeCell ref="A1:D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G54"/>
  <sheetViews>
    <sheetView workbookViewId="0">
      <selection activeCell="A4" sqref="A4"/>
    </sheetView>
  </sheetViews>
  <sheetFormatPr defaultRowHeight="12.75"/>
  <cols>
    <col min="1" max="1" width="30.85546875" style="3" customWidth="1"/>
    <col min="2" max="3" width="9.85546875" style="3" bestFit="1" customWidth="1"/>
    <col min="4" max="4" width="14.140625" bestFit="1" customWidth="1"/>
    <col min="5" max="5" width="23.140625" customWidth="1"/>
    <col min="6" max="6" width="7.5703125" bestFit="1" customWidth="1"/>
  </cols>
  <sheetData>
    <row r="1" spans="1:7" ht="35.25" customHeight="1">
      <c r="A1" s="123" t="s">
        <v>76</v>
      </c>
      <c r="B1" s="123"/>
      <c r="C1" s="123"/>
      <c r="D1" s="123"/>
      <c r="E1" s="123"/>
    </row>
    <row r="2" spans="1:7" s="42" customFormat="1" ht="14.25">
      <c r="A2" s="62" t="s">
        <v>17</v>
      </c>
      <c r="B2" s="63">
        <v>0.5</v>
      </c>
      <c r="C2" s="54"/>
      <c r="D2" s="44"/>
      <c r="F2" s="41"/>
    </row>
    <row r="3" spans="1:7" s="42" customFormat="1" ht="14.25">
      <c r="A3" s="62" t="s">
        <v>18</v>
      </c>
      <c r="B3" s="63">
        <f>1-B2</f>
        <v>0.5</v>
      </c>
      <c r="C3" s="54" t="e">
        <f ca="1">getformula(B3)</f>
        <v>#NAME?</v>
      </c>
      <c r="D3" s="44"/>
      <c r="F3" s="41"/>
    </row>
    <row r="4" spans="1:7" s="42" customFormat="1" ht="14.25">
      <c r="A4" s="64"/>
      <c r="B4" s="54"/>
      <c r="C4" s="54"/>
      <c r="D4" s="44"/>
      <c r="F4" s="41"/>
    </row>
    <row r="5" spans="1:7" s="39" customFormat="1" ht="30">
      <c r="A5" s="37" t="s">
        <v>0</v>
      </c>
      <c r="B5" s="37" t="s">
        <v>9</v>
      </c>
      <c r="C5" s="38" t="s">
        <v>8</v>
      </c>
      <c r="D5" s="38" t="s">
        <v>19</v>
      </c>
    </row>
    <row r="6" spans="1:7" s="42" customFormat="1" ht="14.25">
      <c r="A6" s="40">
        <v>38352</v>
      </c>
      <c r="B6" s="54">
        <f>VLOOKUP($A6,'Page 246'!$A$3:$D$13,4,0)</f>
        <v>0.19936974789915962</v>
      </c>
      <c r="C6" s="54">
        <f>VLOOKUP(A6,'Page 250'!$A$3:$C$13,3,0)</f>
        <v>0.28032178217821779</v>
      </c>
      <c r="D6" s="44">
        <f>B6*$B$2+C6*$B$3</f>
        <v>0.23984576503868871</v>
      </c>
      <c r="E6" s="42" t="e">
        <f ca="1">getformula(D6)</f>
        <v>#NAME?</v>
      </c>
      <c r="F6" s="41"/>
    </row>
    <row r="7" spans="1:7" s="42" customFormat="1" ht="14.25">
      <c r="A7" s="40">
        <v>38717</v>
      </c>
      <c r="B7" s="54">
        <f>VLOOKUP($A7,'Page 246'!$A$3:$D$13,4,0)</f>
        <v>-8.4639498432601545E-3</v>
      </c>
      <c r="C7" s="54">
        <f>VLOOKUP(A7,'Page 250'!$A$3:$C$13,3,0)</f>
        <v>0.11793136781053648</v>
      </c>
      <c r="D7" s="44">
        <f t="shared" ref="D7:D15" si="0">B7*$B$2+C7*$B$3</f>
        <v>5.4733708983638163E-2</v>
      </c>
      <c r="G7" s="44"/>
    </row>
    <row r="8" spans="1:7" s="42" customFormat="1" ht="14.25">
      <c r="A8" s="40">
        <v>39082</v>
      </c>
      <c r="B8" s="54">
        <f>VLOOKUP($A8,'Page 246'!$A$3:$D$13,4,0)</f>
        <v>0.18459046737621465</v>
      </c>
      <c r="C8" s="54">
        <f>VLOOKUP(A8,'Page 250'!$A$3:$C$13,3,0)</f>
        <v>0.39083441418071785</v>
      </c>
      <c r="D8" s="44">
        <f t="shared" si="0"/>
        <v>0.28771244077846625</v>
      </c>
    </row>
    <row r="9" spans="1:7" s="42" customFormat="1" ht="14.25">
      <c r="A9" s="40">
        <v>39447</v>
      </c>
      <c r="B9" s="54">
        <f>VLOOKUP($A9,'Page 246'!$A$3:$D$13,4,0)</f>
        <v>7.1354374750299598E-2</v>
      </c>
      <c r="C9" s="54">
        <f>VLOOKUP(A9,'Page 250'!$A$3:$C$13,3,0)</f>
        <v>0.24292819396953669</v>
      </c>
      <c r="D9" s="44">
        <f t="shared" si="0"/>
        <v>0.15714128435991814</v>
      </c>
    </row>
    <row r="10" spans="1:7" s="42" customFormat="1" ht="14.25">
      <c r="A10" s="40">
        <v>39813</v>
      </c>
      <c r="B10" s="54">
        <f>VLOOKUP($A10,'Page 246'!$A$3:$D$13,4,0)</f>
        <v>-0.13885180240320427</v>
      </c>
      <c r="C10" s="54">
        <f>VLOOKUP(A10,'Page 250'!$A$3:$C$13,3,0)</f>
        <v>-0.13104914342878582</v>
      </c>
      <c r="D10" s="44">
        <f t="shared" si="0"/>
        <v>-0.13495047291599505</v>
      </c>
    </row>
    <row r="11" spans="1:7" s="42" customFormat="1" ht="14.25">
      <c r="A11" s="40">
        <v>40178</v>
      </c>
      <c r="B11" s="54">
        <f>VLOOKUP($A11,'Page 246'!$A$3:$D$13,4,0)</f>
        <v>0.24583808437856325</v>
      </c>
      <c r="C11" s="54">
        <f>VLOOKUP(A11,'Page 250'!$A$3:$C$13,3,0)</f>
        <v>-0.12606130378471725</v>
      </c>
      <c r="D11" s="44">
        <f t="shared" si="0"/>
        <v>5.9888390296923E-2</v>
      </c>
    </row>
    <row r="12" spans="1:7" s="42" customFormat="1" ht="14.25">
      <c r="A12" s="40">
        <v>40543</v>
      </c>
      <c r="B12" s="54">
        <f>VLOOKUP($A12,'Page 246'!$A$3:$D$13,4,0)</f>
        <v>-1.0526315789473717E-2</v>
      </c>
      <c r="C12" s="54">
        <f>VLOOKUP(A12,'Page 250'!$A$3:$C$13,3,0)</f>
        <v>0.1012679071299194</v>
      </c>
      <c r="D12" s="44">
        <f t="shared" si="0"/>
        <v>4.5370795670222841E-2</v>
      </c>
    </row>
    <row r="13" spans="1:7" s="42" customFormat="1" ht="14.25">
      <c r="A13" s="40">
        <v>40908</v>
      </c>
      <c r="B13" s="54">
        <f>VLOOKUP($A13,'Page 246'!$A$3:$D$13,4,0)</f>
        <v>2.2709475332811424E-2</v>
      </c>
      <c r="C13" s="54">
        <f>VLOOKUP(A13,'Page 250'!$A$3:$C$13,3,0)</f>
        <v>0.1866028708133971</v>
      </c>
      <c r="D13" s="44">
        <f t="shared" si="0"/>
        <v>0.10465617307310426</v>
      </c>
    </row>
    <row r="14" spans="1:7" s="42" customFormat="1" ht="14.25">
      <c r="A14" s="40">
        <v>41274</v>
      </c>
      <c r="B14" s="54">
        <f>VLOOKUP($A14,'Page 246'!$A$3:$D$13,4,0)</f>
        <v>0.13881748071979438</v>
      </c>
      <c r="C14" s="54">
        <f>VLOOKUP(A14,'Page 250'!$A$3:$C$13,3,0)</f>
        <v>4.7001008064516236E-2</v>
      </c>
      <c r="D14" s="44">
        <f t="shared" si="0"/>
        <v>9.290924439215531E-2</v>
      </c>
    </row>
    <row r="15" spans="1:7" s="42" customFormat="1" ht="14.25">
      <c r="A15" s="40">
        <v>41639</v>
      </c>
      <c r="B15" s="54">
        <f>VLOOKUP($A15,'Page 246'!$A$3:$D$13,4,0)</f>
        <v>0.1256938227394806</v>
      </c>
      <c r="C15" s="54">
        <f>VLOOKUP(A15,'Page 250'!$A$3:$C$13,3,0)</f>
        <v>0.20122758454687695</v>
      </c>
      <c r="D15" s="44">
        <f t="shared" si="0"/>
        <v>0.16346070364317877</v>
      </c>
    </row>
    <row r="16" spans="1:7" s="42" customFormat="1" ht="14.25">
      <c r="A16" s="45"/>
      <c r="B16" s="45"/>
      <c r="C16" s="45"/>
    </row>
    <row r="17" spans="1:5" s="42" customFormat="1" ht="18.75">
      <c r="A17" s="55" t="s">
        <v>55</v>
      </c>
      <c r="B17" s="56">
        <f t="shared" ref="B17:C17" si="1">AVERAGE(B6:B15)</f>
        <v>8.3053138516038544E-2</v>
      </c>
      <c r="C17" s="56">
        <f t="shared" si="1"/>
        <v>0.13110046814802154</v>
      </c>
      <c r="D17" s="65">
        <f t="shared" ref="D17" si="2">AVERAGE(D6:D15)</f>
        <v>0.10707680333203004</v>
      </c>
      <c r="E17" s="42" t="e">
        <f ca="1">getformula(D17)</f>
        <v>#NAME?</v>
      </c>
    </row>
    <row r="18" spans="1:5" s="42" customFormat="1" ht="18.75">
      <c r="A18" s="55" t="s">
        <v>56</v>
      </c>
      <c r="B18" s="60">
        <f>_xlfn.VAR.S(B6:B15)</f>
        <v>1.3935413830738022E-2</v>
      </c>
      <c r="C18" s="60">
        <f t="shared" ref="C18:D18" si="3">_xlfn.VAR.S(C6:C15)</f>
        <v>2.8135912731273964E-2</v>
      </c>
      <c r="D18" s="68">
        <f t="shared" si="3"/>
        <v>1.3722265115636935E-2</v>
      </c>
      <c r="E18" s="42" t="e">
        <f ca="1">getformula(D18)</f>
        <v>#NAME?</v>
      </c>
    </row>
    <row r="19" spans="1:5" s="42" customFormat="1" ht="18.75">
      <c r="A19" s="55" t="s">
        <v>57</v>
      </c>
      <c r="B19" s="57">
        <f>_xlfn.STDEV.S(B6:B15)</f>
        <v>0.11804835378241418</v>
      </c>
      <c r="C19" s="57">
        <f t="shared" ref="C19:D19" si="4">_xlfn.STDEV.S(C6:C15)</f>
        <v>0.16773763063568642</v>
      </c>
      <c r="D19" s="66">
        <f t="shared" si="4"/>
        <v>0.11714207235505497</v>
      </c>
      <c r="E19" s="42" t="e">
        <f ca="1">getformula(D19)</f>
        <v>#NAME?</v>
      </c>
    </row>
    <row r="20" spans="1:5" s="42" customFormat="1" ht="14.25">
      <c r="A20" s="55"/>
      <c r="B20" s="57"/>
      <c r="C20" s="57"/>
    </row>
    <row r="21" spans="1:5" s="42" customFormat="1" ht="18.75">
      <c r="A21" s="55" t="s">
        <v>58</v>
      </c>
      <c r="B21" s="69">
        <f>_xlfn.COVARIANCE.S(B6:B15,C6:C15)</f>
        <v>6.4088669502678922E-3</v>
      </c>
      <c r="C21" s="42" t="e">
        <f ca="1">getformula(B21)</f>
        <v>#NAME?</v>
      </c>
    </row>
    <row r="22" spans="1:5" s="42" customFormat="1" ht="18.75">
      <c r="A22" s="55" t="s">
        <v>59</v>
      </c>
      <c r="B22" s="69">
        <f>CORREL(B6:B15,C6:C15)</f>
        <v>0.32366133146593562</v>
      </c>
      <c r="C22" s="42" t="e">
        <f ca="1">getformula(B22)</f>
        <v>#NAME?</v>
      </c>
    </row>
    <row r="23" spans="1:5" s="42" customFormat="1" ht="14.25">
      <c r="A23" s="45"/>
      <c r="B23" s="45"/>
    </row>
    <row r="24" spans="1:5" s="42" customFormat="1" ht="15">
      <c r="A24" s="67" t="s">
        <v>20</v>
      </c>
      <c r="B24" s="45"/>
      <c r="C24" s="45"/>
    </row>
    <row r="25" spans="1:5" s="42" customFormat="1" ht="18.75">
      <c r="A25" s="46" t="s">
        <v>62</v>
      </c>
      <c r="B25" s="66">
        <f>B17*B2+C17*B3</f>
        <v>0.10707680333203004</v>
      </c>
      <c r="C25" s="42" t="e">
        <f t="shared" ref="C25:C27" ca="1" si="5">getformula(B25)</f>
        <v>#NAME?</v>
      </c>
    </row>
    <row r="26" spans="1:5" s="42" customFormat="1" ht="18.75">
      <c r="A26" s="46" t="s">
        <v>63</v>
      </c>
      <c r="B26" s="61">
        <f>B2^2*B18+B3^2*C18+2*B2*B3*B21</f>
        <v>1.3722265115636942E-2</v>
      </c>
      <c r="C26" s="42" t="e">
        <f t="shared" ca="1" si="5"/>
        <v>#NAME?</v>
      </c>
    </row>
    <row r="27" spans="1:5" s="42" customFormat="1" ht="18.75">
      <c r="A27" s="46" t="s">
        <v>64</v>
      </c>
      <c r="B27" s="66">
        <f>SQRT(B26)</f>
        <v>0.117142072355055</v>
      </c>
      <c r="C27" s="42" t="e">
        <f t="shared" ca="1" si="5"/>
        <v>#NAME?</v>
      </c>
    </row>
    <row r="28" spans="1:5" s="42" customFormat="1" ht="14.25">
      <c r="A28" s="45"/>
      <c r="B28" s="45"/>
      <c r="C28" s="45"/>
    </row>
    <row r="29" spans="1:5" s="42" customFormat="1" ht="14.25">
      <c r="A29" s="45"/>
      <c r="B29" s="45"/>
      <c r="C29" s="45"/>
    </row>
    <row r="30" spans="1:5" s="42" customFormat="1" ht="14.25">
      <c r="A30" s="45"/>
      <c r="B30" s="45"/>
      <c r="C30" s="45"/>
    </row>
    <row r="31" spans="1:5" s="42" customFormat="1" ht="14.25">
      <c r="A31" s="45"/>
      <c r="B31" s="45"/>
      <c r="C31" s="45"/>
    </row>
    <row r="32" spans="1:5" s="42" customFormat="1" ht="14.25">
      <c r="A32" s="45"/>
      <c r="B32" s="45"/>
      <c r="C32" s="45"/>
    </row>
    <row r="33" spans="1:3" s="42" customFormat="1" ht="14.25">
      <c r="A33" s="45"/>
      <c r="B33" s="45"/>
      <c r="C33" s="45"/>
    </row>
    <row r="34" spans="1:3" s="42" customFormat="1" ht="14.25">
      <c r="A34" s="45"/>
      <c r="B34" s="45"/>
      <c r="C34" s="45"/>
    </row>
    <row r="35" spans="1:3" s="42" customFormat="1" ht="14.25">
      <c r="A35" s="45"/>
      <c r="B35" s="45"/>
      <c r="C35" s="45"/>
    </row>
    <row r="36" spans="1:3" s="42" customFormat="1" ht="14.25">
      <c r="A36" s="45"/>
      <c r="B36" s="45"/>
      <c r="C36" s="45"/>
    </row>
    <row r="37" spans="1:3" s="42" customFormat="1" ht="14.25">
      <c r="A37" s="45"/>
      <c r="B37" s="45"/>
      <c r="C37" s="45"/>
    </row>
    <row r="38" spans="1:3" s="42" customFormat="1" ht="14.25">
      <c r="A38" s="45"/>
      <c r="B38" s="45"/>
      <c r="C38" s="45"/>
    </row>
    <row r="39" spans="1:3" s="42" customFormat="1" ht="14.25">
      <c r="A39" s="45"/>
      <c r="B39" s="45"/>
      <c r="C39" s="45"/>
    </row>
    <row r="40" spans="1:3" s="42" customFormat="1" ht="14.25">
      <c r="A40" s="45"/>
      <c r="B40" s="45"/>
      <c r="C40" s="45"/>
    </row>
    <row r="41" spans="1:3" s="42" customFormat="1" ht="14.25">
      <c r="A41" s="45"/>
      <c r="B41" s="45"/>
      <c r="C41" s="45"/>
    </row>
    <row r="42" spans="1:3" s="42" customFormat="1" ht="14.25">
      <c r="A42" s="45"/>
      <c r="B42" s="45"/>
      <c r="C42" s="45"/>
    </row>
    <row r="43" spans="1:3" s="42" customFormat="1" ht="14.25">
      <c r="A43" s="45"/>
      <c r="B43" s="45"/>
      <c r="C43" s="45"/>
    </row>
    <row r="44" spans="1:3" s="42" customFormat="1" ht="14.25">
      <c r="A44" s="45"/>
      <c r="B44" s="45"/>
      <c r="C44" s="45"/>
    </row>
    <row r="45" spans="1:3" s="42" customFormat="1" ht="14.25">
      <c r="A45" s="45"/>
      <c r="B45" s="45"/>
      <c r="C45" s="45"/>
    </row>
    <row r="46" spans="1:3" s="42" customFormat="1" ht="14.25">
      <c r="A46" s="45"/>
      <c r="B46" s="45"/>
      <c r="C46" s="45"/>
    </row>
    <row r="47" spans="1:3" s="42" customFormat="1" ht="14.25">
      <c r="A47" s="45"/>
      <c r="B47" s="45"/>
      <c r="C47" s="45"/>
    </row>
    <row r="48" spans="1:3" s="42" customFormat="1" ht="14.25">
      <c r="A48" s="45"/>
      <c r="B48" s="45"/>
      <c r="C48" s="45"/>
    </row>
    <row r="49" spans="1:3" s="42" customFormat="1" ht="14.25">
      <c r="A49" s="45"/>
      <c r="B49" s="45"/>
      <c r="C49" s="45"/>
    </row>
    <row r="50" spans="1:3" s="42" customFormat="1" ht="14.25">
      <c r="A50" s="45"/>
      <c r="B50" s="45"/>
      <c r="C50" s="45"/>
    </row>
    <row r="51" spans="1:3" s="42" customFormat="1" ht="14.25">
      <c r="A51" s="45"/>
      <c r="B51" s="45"/>
      <c r="C51" s="45"/>
    </row>
    <row r="52" spans="1:3" s="42" customFormat="1" ht="14.25">
      <c r="A52" s="45"/>
      <c r="B52" s="45"/>
      <c r="C52" s="45"/>
    </row>
    <row r="53" spans="1:3" s="42" customFormat="1" ht="14.25">
      <c r="A53" s="45"/>
      <c r="B53" s="45"/>
      <c r="C53" s="45"/>
    </row>
    <row r="54" spans="1:3" s="42" customFormat="1" ht="14.25">
      <c r="A54" s="45"/>
      <c r="B54" s="45"/>
      <c r="C54" s="45"/>
    </row>
  </sheetData>
  <mergeCells count="1">
    <mergeCell ref="A1:E1"/>
  </mergeCells>
  <printOptions headings="1" gridLines="1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K27"/>
  <sheetViews>
    <sheetView workbookViewId="0">
      <selection activeCell="F34" sqref="F34"/>
    </sheetView>
  </sheetViews>
  <sheetFormatPr defaultColWidth="9.140625" defaultRowHeight="12.75"/>
  <cols>
    <col min="1" max="1" width="17" style="21" customWidth="1"/>
    <col min="2" max="2" width="11.42578125" style="21" customWidth="1"/>
    <col min="3" max="3" width="11.28515625" style="21" customWidth="1"/>
    <col min="4" max="5" width="9.140625" style="21"/>
    <col min="6" max="6" width="21.85546875" style="21" bestFit="1" customWidth="1"/>
    <col min="7" max="16384" width="9.140625" style="21"/>
  </cols>
  <sheetData>
    <row r="1" spans="1:11" ht="40.5" customHeight="1">
      <c r="A1" s="125" t="s">
        <v>31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</row>
    <row r="2" spans="1:11" ht="30.75" customHeight="1">
      <c r="A2" s="14"/>
      <c r="B2" s="25" t="s">
        <v>30</v>
      </c>
      <c r="C2" s="25" t="s">
        <v>29</v>
      </c>
      <c r="E2" s="29"/>
    </row>
    <row r="3" spans="1:11">
      <c r="A3" s="21" t="s">
        <v>28</v>
      </c>
      <c r="B3" s="27">
        <f>'Page 255'!B17</f>
        <v>8.3053138516038544E-2</v>
      </c>
      <c r="C3" s="27">
        <f>'Page 255'!C17</f>
        <v>0.13110046814802154</v>
      </c>
      <c r="E3" s="27"/>
    </row>
    <row r="4" spans="1:11">
      <c r="A4" s="21" t="s">
        <v>27</v>
      </c>
      <c r="B4" s="28">
        <f>'Page 255'!B18</f>
        <v>1.3935413830738022E-2</v>
      </c>
      <c r="C4" s="28">
        <f>'Page 255'!C18</f>
        <v>2.8135912731273964E-2</v>
      </c>
      <c r="E4" s="27"/>
    </row>
    <row r="5" spans="1:11">
      <c r="A5" s="21" t="s">
        <v>26</v>
      </c>
      <c r="B5" s="27">
        <f>'Page 255'!B19</f>
        <v>0.11804835378241418</v>
      </c>
      <c r="C5" s="27">
        <f>'Page 255'!C19</f>
        <v>0.16773763063568642</v>
      </c>
      <c r="E5" s="23"/>
    </row>
    <row r="6" spans="1:11">
      <c r="A6" s="21" t="s">
        <v>25</v>
      </c>
      <c r="C6" s="26">
        <f>'Page 255'!B21</f>
        <v>6.4088669502678922E-3</v>
      </c>
      <c r="E6" s="26"/>
    </row>
    <row r="8" spans="1:11" ht="52.5">
      <c r="A8" s="25" t="s">
        <v>24</v>
      </c>
      <c r="B8" s="25" t="s">
        <v>23</v>
      </c>
      <c r="C8" s="25" t="s">
        <v>22</v>
      </c>
      <c r="D8" s="25" t="s">
        <v>21</v>
      </c>
    </row>
    <row r="9" spans="1:11">
      <c r="A9" s="24">
        <v>1</v>
      </c>
      <c r="B9" s="71">
        <f t="shared" ref="B9:B19" si="0">A9^2*$B$4+(1-A9)^2*$C$4+2*A9*(1-A9)*$C$6</f>
        <v>1.3935413830738022E-2</v>
      </c>
      <c r="C9" s="23">
        <f t="shared" ref="C9:C19" si="1">SQRT(B9)</f>
        <v>0.11804835378241418</v>
      </c>
      <c r="D9" s="23">
        <f t="shared" ref="D9:D19" si="2">A9*$B$3+(1-A9)*$C$3</f>
        <v>8.3053138516038544E-2</v>
      </c>
    </row>
    <row r="10" spans="1:11">
      <c r="A10" s="30">
        <f>A9-10%</f>
        <v>0.9</v>
      </c>
      <c r="B10" s="71">
        <f t="shared" si="0"/>
        <v>1.2722640381258761E-2</v>
      </c>
      <c r="C10" s="23">
        <f t="shared" si="1"/>
        <v>0.11279468241570061</v>
      </c>
      <c r="D10" s="23">
        <f t="shared" si="2"/>
        <v>8.7857871479236849E-2</v>
      </c>
    </row>
    <row r="11" spans="1:11">
      <c r="A11" s="30">
        <f t="shared" ref="A11:A19" si="3">A10-10%</f>
        <v>0.8</v>
      </c>
      <c r="B11" s="71">
        <f t="shared" si="0"/>
        <v>1.2094938785009019E-2</v>
      </c>
      <c r="C11" s="23">
        <f t="shared" si="1"/>
        <v>0.10997699207111013</v>
      </c>
      <c r="D11" s="23">
        <f t="shared" si="2"/>
        <v>9.266260444243514E-2</v>
      </c>
    </row>
    <row r="12" spans="1:11">
      <c r="A12" s="30">
        <f t="shared" si="3"/>
        <v>0.70000000000000007</v>
      </c>
      <c r="B12" s="71">
        <f t="shared" si="0"/>
        <v>1.2052309041988802E-2</v>
      </c>
      <c r="C12" s="23">
        <f t="shared" si="1"/>
        <v>0.10978300889476841</v>
      </c>
      <c r="D12" s="23">
        <f t="shared" si="2"/>
        <v>9.7467337405633445E-2</v>
      </c>
    </row>
    <row r="13" spans="1:11">
      <c r="A13" s="30">
        <f t="shared" si="3"/>
        <v>0.60000000000000009</v>
      </c>
      <c r="B13" s="71">
        <f t="shared" si="0"/>
        <v>1.2594751152198111E-2</v>
      </c>
      <c r="C13" s="23">
        <f t="shared" si="1"/>
        <v>0.11222633894143616</v>
      </c>
      <c r="D13" s="23">
        <f t="shared" si="2"/>
        <v>0.10227207036883174</v>
      </c>
    </row>
    <row r="14" spans="1:11">
      <c r="A14" s="30">
        <f t="shared" si="3"/>
        <v>0.50000000000000011</v>
      </c>
      <c r="B14" s="71">
        <f t="shared" si="0"/>
        <v>1.372226511563694E-2</v>
      </c>
      <c r="C14" s="23">
        <f t="shared" si="1"/>
        <v>0.117142072355055</v>
      </c>
      <c r="D14" s="23">
        <f t="shared" si="2"/>
        <v>0.10707680333203004</v>
      </c>
    </row>
    <row r="15" spans="1:11">
      <c r="A15" s="30">
        <f t="shared" si="3"/>
        <v>0.40000000000000013</v>
      </c>
      <c r="B15" s="71">
        <f t="shared" si="0"/>
        <v>1.5434850932305297E-2</v>
      </c>
      <c r="C15" s="23">
        <f t="shared" si="1"/>
        <v>0.12423707551413667</v>
      </c>
      <c r="D15" s="23">
        <f t="shared" si="2"/>
        <v>0.11188153629522835</v>
      </c>
    </row>
    <row r="16" spans="1:11">
      <c r="A16" s="30">
        <f t="shared" si="3"/>
        <v>0.30000000000000016</v>
      </c>
      <c r="B16" s="71">
        <f t="shared" si="0"/>
        <v>1.7732508602203174E-2</v>
      </c>
      <c r="C16" s="23">
        <f t="shared" si="1"/>
        <v>0.13316346571865412</v>
      </c>
      <c r="D16" s="23">
        <f t="shared" si="2"/>
        <v>0.11668626925842662</v>
      </c>
    </row>
    <row r="17" spans="1:7">
      <c r="A17" s="30">
        <f t="shared" si="3"/>
        <v>0.20000000000000015</v>
      </c>
      <c r="B17" s="71">
        <f t="shared" si="0"/>
        <v>2.061523812533058E-2</v>
      </c>
      <c r="C17" s="23">
        <f t="shared" si="1"/>
        <v>0.14358007565581857</v>
      </c>
      <c r="D17" s="23">
        <f t="shared" si="2"/>
        <v>0.12149100222162493</v>
      </c>
    </row>
    <row r="18" spans="1:7">
      <c r="A18" s="30">
        <f t="shared" si="3"/>
        <v>0.10000000000000014</v>
      </c>
      <c r="B18" s="71">
        <f t="shared" si="0"/>
        <v>2.4083039501687508E-2</v>
      </c>
      <c r="C18" s="23">
        <f t="shared" si="1"/>
        <v>0.15518711126149462</v>
      </c>
      <c r="D18" s="23">
        <f t="shared" si="2"/>
        <v>0.12629573518482323</v>
      </c>
    </row>
    <row r="19" spans="1:7">
      <c r="A19" s="30">
        <f t="shared" si="3"/>
        <v>1.3877787807814457E-16</v>
      </c>
      <c r="B19" s="71">
        <f t="shared" si="0"/>
        <v>2.8135912731273961E-2</v>
      </c>
      <c r="C19" s="23">
        <f t="shared" si="1"/>
        <v>0.16773763063568639</v>
      </c>
      <c r="D19" s="23">
        <f t="shared" si="2"/>
        <v>0.13110046814802151</v>
      </c>
    </row>
    <row r="21" spans="1:7">
      <c r="C21" s="126" t="e">
        <f ca="1">_xlfn.FORMULATEXT(C19)</f>
        <v>#NAME?</v>
      </c>
      <c r="D21" s="126"/>
    </row>
    <row r="23" spans="1:7" ht="12.75" customHeight="1">
      <c r="A23" s="22"/>
      <c r="B23" s="22"/>
    </row>
    <row r="24" spans="1:7" ht="12.75" customHeight="1">
      <c r="A24" s="127" t="e">
        <f ca="1">_xlfn.FORMULATEXT(B19)</f>
        <v>#NAME?</v>
      </c>
      <c r="B24" s="127"/>
      <c r="C24" s="127"/>
      <c r="E24" s="127" t="e">
        <f ca="1">_xlfn.FORMULATEXT(D19)</f>
        <v>#NAME?</v>
      </c>
      <c r="F24" s="127"/>
      <c r="G24" s="127"/>
    </row>
    <row r="25" spans="1:7">
      <c r="A25" s="127"/>
      <c r="B25" s="127"/>
      <c r="C25" s="127"/>
    </row>
    <row r="27" spans="1:7" ht="12.75" customHeight="1"/>
  </sheetData>
  <mergeCells count="4">
    <mergeCell ref="C21:D21"/>
    <mergeCell ref="A1:K1"/>
    <mergeCell ref="E24:G24"/>
    <mergeCell ref="A24:C25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opLeftCell="A4" workbookViewId="0">
      <selection sqref="A1:M1"/>
    </sheetView>
  </sheetViews>
  <sheetFormatPr defaultRowHeight="12.75"/>
  <cols>
    <col min="1" max="1" width="9.42578125" bestFit="1" customWidth="1"/>
    <col min="2" max="3" width="8.5703125" customWidth="1"/>
    <col min="4" max="4" width="1.85546875" customWidth="1"/>
    <col min="5" max="6" width="8.140625" customWidth="1"/>
  </cols>
  <sheetData>
    <row r="1" spans="1:13" ht="40.15" customHeight="1">
      <c r="A1" s="124" t="s">
        <v>32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</row>
    <row r="2" spans="1:13" ht="27.75" customHeight="1">
      <c r="A2" s="4"/>
      <c r="B2" s="129" t="s">
        <v>35</v>
      </c>
      <c r="C2" s="129"/>
      <c r="D2" s="36"/>
      <c r="E2" s="129" t="s">
        <v>36</v>
      </c>
      <c r="F2" s="130"/>
    </row>
    <row r="3" spans="1:13">
      <c r="A3" s="36" t="s">
        <v>0</v>
      </c>
      <c r="B3" s="36" t="s">
        <v>33</v>
      </c>
      <c r="C3" s="36" t="s">
        <v>34</v>
      </c>
      <c r="D3" s="36"/>
      <c r="E3" s="36" t="s">
        <v>33</v>
      </c>
      <c r="F3" s="36" t="s">
        <v>34</v>
      </c>
    </row>
    <row r="4" spans="1:13">
      <c r="A4" s="31">
        <v>40908</v>
      </c>
      <c r="B4" s="72">
        <v>1257.5999999999999</v>
      </c>
      <c r="C4" s="72">
        <v>175.4</v>
      </c>
    </row>
    <row r="5" spans="1:13">
      <c r="A5" s="31">
        <v>40939</v>
      </c>
      <c r="B5" s="72">
        <v>1312.41</v>
      </c>
      <c r="C5" s="72">
        <v>183.72</v>
      </c>
      <c r="E5" s="32">
        <f>B5/B4-1</f>
        <v>4.3583015267175673E-2</v>
      </c>
      <c r="F5" s="32">
        <f>C5/C4-1</f>
        <v>4.7434435575826717E-2</v>
      </c>
      <c r="G5" t="e">
        <f ca="1">getformula(F5)</f>
        <v>#NAME?</v>
      </c>
    </row>
    <row r="6" spans="1:13">
      <c r="A6" s="31">
        <v>40968</v>
      </c>
      <c r="B6" s="72">
        <v>1365.68</v>
      </c>
      <c r="C6" s="72">
        <v>188.39</v>
      </c>
      <c r="E6" s="32">
        <f t="shared" ref="E6:F21" si="0">B6/B5-1</f>
        <v>4.0589449943234213E-2</v>
      </c>
      <c r="F6" s="32">
        <f t="shared" si="0"/>
        <v>2.5419116046157209E-2</v>
      </c>
      <c r="G6" t="e">
        <f ca="1">getformula(F6)</f>
        <v>#NAME?</v>
      </c>
    </row>
    <row r="7" spans="1:13">
      <c r="A7" s="31">
        <v>40999</v>
      </c>
      <c r="B7" s="72">
        <v>1408.47</v>
      </c>
      <c r="C7" s="72">
        <v>199.81</v>
      </c>
      <c r="E7" s="32">
        <f t="shared" si="0"/>
        <v>3.1332376545017748E-2</v>
      </c>
      <c r="F7" s="32">
        <f t="shared" si="0"/>
        <v>6.0618928817878004E-2</v>
      </c>
    </row>
    <row r="8" spans="1:13">
      <c r="A8" s="31">
        <v>41029</v>
      </c>
      <c r="B8" s="72">
        <v>1397.91</v>
      </c>
      <c r="C8" s="72">
        <v>198.3</v>
      </c>
      <c r="E8" s="32">
        <f t="shared" si="0"/>
        <v>-7.497497284287169E-3</v>
      </c>
      <c r="F8" s="32">
        <f t="shared" si="0"/>
        <v>-7.5571793203542681E-3</v>
      </c>
    </row>
    <row r="9" spans="1:13">
      <c r="A9" s="31">
        <v>41060</v>
      </c>
      <c r="B9" s="72">
        <v>1310.33</v>
      </c>
      <c r="C9" s="72">
        <v>185.5</v>
      </c>
      <c r="E9" s="32">
        <f t="shared" si="0"/>
        <v>-6.2650671359386623E-2</v>
      </c>
      <c r="F9" s="32">
        <f t="shared" si="0"/>
        <v>-6.4548663640948134E-2</v>
      </c>
    </row>
    <row r="10" spans="1:13">
      <c r="A10" s="31">
        <v>41090</v>
      </c>
      <c r="B10" s="72">
        <v>1362.16</v>
      </c>
      <c r="C10" s="72">
        <v>188.08</v>
      </c>
      <c r="E10" s="32">
        <f t="shared" si="0"/>
        <v>3.9554921279372435E-2</v>
      </c>
      <c r="F10" s="32">
        <f t="shared" si="0"/>
        <v>1.3908355795148264E-2</v>
      </c>
    </row>
    <row r="11" spans="1:13">
      <c r="A11" s="31">
        <v>41121</v>
      </c>
      <c r="B11" s="72">
        <v>1379.32</v>
      </c>
      <c r="C11" s="72">
        <v>188.46</v>
      </c>
      <c r="E11" s="32">
        <f t="shared" si="0"/>
        <v>1.2597639043871345E-2</v>
      </c>
      <c r="F11" s="32">
        <f t="shared" si="0"/>
        <v>2.0204168438962E-3</v>
      </c>
    </row>
    <row r="12" spans="1:13">
      <c r="A12" s="31">
        <v>41152</v>
      </c>
      <c r="B12" s="72">
        <v>1406.58</v>
      </c>
      <c r="C12" s="72">
        <v>188.17</v>
      </c>
      <c r="E12" s="32">
        <f t="shared" si="0"/>
        <v>1.9763361656468303E-2</v>
      </c>
      <c r="F12" s="32">
        <f t="shared" si="0"/>
        <v>-1.5387880717394609E-3</v>
      </c>
    </row>
    <row r="13" spans="1:13">
      <c r="A13" s="31">
        <v>41182</v>
      </c>
      <c r="B13" s="72">
        <v>1440.67</v>
      </c>
      <c r="C13" s="72">
        <v>200.34</v>
      </c>
      <c r="E13" s="32">
        <f t="shared" si="0"/>
        <v>2.4236090375236552E-2</v>
      </c>
      <c r="F13" s="32">
        <f t="shared" si="0"/>
        <v>6.4675559334644195E-2</v>
      </c>
    </row>
    <row r="14" spans="1:13">
      <c r="A14" s="31">
        <v>41213</v>
      </c>
      <c r="B14" s="72">
        <v>1412.16</v>
      </c>
      <c r="C14" s="72">
        <v>187.87</v>
      </c>
      <c r="E14" s="32">
        <f t="shared" si="0"/>
        <v>-1.9789403541407791E-2</v>
      </c>
      <c r="F14" s="32">
        <f t="shared" si="0"/>
        <v>-6.2244184885694276E-2</v>
      </c>
    </row>
    <row r="15" spans="1:13">
      <c r="A15" s="31">
        <v>41243</v>
      </c>
      <c r="B15" s="72">
        <v>1416.18</v>
      </c>
      <c r="C15" s="72">
        <v>184.36</v>
      </c>
      <c r="E15" s="32">
        <f t="shared" si="0"/>
        <v>2.8467029231815655E-3</v>
      </c>
      <c r="F15" s="32">
        <f t="shared" si="0"/>
        <v>-1.868313195294613E-2</v>
      </c>
    </row>
    <row r="16" spans="1:13">
      <c r="A16" s="31">
        <v>41274</v>
      </c>
      <c r="B16" s="72">
        <v>1426.19</v>
      </c>
      <c r="C16" s="72">
        <v>185.8</v>
      </c>
      <c r="E16" s="32">
        <f t="shared" si="0"/>
        <v>7.0683105254980561E-3</v>
      </c>
      <c r="F16" s="32">
        <f t="shared" si="0"/>
        <v>7.8108049468430529E-3</v>
      </c>
    </row>
    <row r="17" spans="1:7">
      <c r="A17" s="31">
        <v>41305</v>
      </c>
      <c r="B17" s="72">
        <v>1498.11</v>
      </c>
      <c r="C17" s="72">
        <v>196.97</v>
      </c>
      <c r="E17" s="32">
        <f t="shared" si="0"/>
        <v>5.0428063581991145E-2</v>
      </c>
      <c r="F17" s="32">
        <f t="shared" si="0"/>
        <v>6.0118406889128062E-2</v>
      </c>
    </row>
    <row r="18" spans="1:7">
      <c r="A18" s="31">
        <v>41333</v>
      </c>
      <c r="B18" s="72">
        <v>1514.68</v>
      </c>
      <c r="C18" s="72">
        <v>195.62</v>
      </c>
      <c r="E18" s="32">
        <f t="shared" si="0"/>
        <v>1.1060603026480154E-2</v>
      </c>
      <c r="F18" s="32">
        <f t="shared" si="0"/>
        <v>-6.853835609483605E-3</v>
      </c>
    </row>
    <row r="19" spans="1:7">
      <c r="A19" s="31">
        <v>41364</v>
      </c>
      <c r="B19" s="72">
        <v>1569.19</v>
      </c>
      <c r="C19" s="72">
        <v>207.77</v>
      </c>
      <c r="E19" s="32">
        <f t="shared" si="0"/>
        <v>3.5987799403174314E-2</v>
      </c>
      <c r="F19" s="32">
        <f t="shared" si="0"/>
        <v>6.2110213679582804E-2</v>
      </c>
    </row>
    <row r="20" spans="1:7">
      <c r="A20" s="31">
        <v>41394</v>
      </c>
      <c r="B20" s="72">
        <v>1597.57</v>
      </c>
      <c r="C20" s="72">
        <v>197.28</v>
      </c>
      <c r="E20" s="32">
        <f t="shared" si="0"/>
        <v>1.8085763992887971E-2</v>
      </c>
      <c r="F20" s="32">
        <f t="shared" si="0"/>
        <v>-5.0488520960677685E-2</v>
      </c>
    </row>
    <row r="21" spans="1:7">
      <c r="A21" s="31">
        <v>41425</v>
      </c>
      <c r="B21" s="72">
        <v>1630.74</v>
      </c>
      <c r="C21" s="72">
        <v>203.57</v>
      </c>
      <c r="E21" s="32">
        <f t="shared" si="0"/>
        <v>2.0762783477406455E-2</v>
      </c>
      <c r="F21" s="32">
        <f t="shared" si="0"/>
        <v>3.1883617193836145E-2</v>
      </c>
    </row>
    <row r="22" spans="1:7">
      <c r="A22" s="31">
        <v>41455</v>
      </c>
      <c r="B22" s="72">
        <v>1606.28</v>
      </c>
      <c r="C22" s="72">
        <v>187.02</v>
      </c>
      <c r="E22" s="32">
        <f t="shared" ref="E22:F28" si="1">B22/B21-1</f>
        <v>-1.499932545960736E-2</v>
      </c>
      <c r="F22" s="32">
        <f t="shared" si="1"/>
        <v>-8.1298816132042928E-2</v>
      </c>
    </row>
    <row r="23" spans="1:7">
      <c r="A23" s="31">
        <v>41486</v>
      </c>
      <c r="B23" s="72">
        <v>1685.73</v>
      </c>
      <c r="C23" s="72">
        <v>190.87</v>
      </c>
      <c r="E23" s="32">
        <f t="shared" si="1"/>
        <v>4.9462111213487203E-2</v>
      </c>
      <c r="F23" s="32">
        <f t="shared" si="1"/>
        <v>2.0586033579296226E-2</v>
      </c>
    </row>
    <row r="24" spans="1:7">
      <c r="A24" s="31">
        <v>41517</v>
      </c>
      <c r="B24" s="72">
        <v>1632.97</v>
      </c>
      <c r="C24" s="72">
        <v>179.26</v>
      </c>
      <c r="E24" s="32">
        <f t="shared" si="1"/>
        <v>-3.1298013323604601E-2</v>
      </c>
      <c r="F24" s="32">
        <f t="shared" si="1"/>
        <v>-6.0826740713574745E-2</v>
      </c>
    </row>
    <row r="25" spans="1:7">
      <c r="A25" s="31">
        <v>41547</v>
      </c>
      <c r="B25" s="72">
        <v>1681.55</v>
      </c>
      <c r="C25" s="72">
        <v>182.13</v>
      </c>
      <c r="E25" s="32">
        <f t="shared" si="1"/>
        <v>2.9749474883188354E-2</v>
      </c>
      <c r="F25" s="32">
        <f t="shared" si="1"/>
        <v>1.6010264420394993E-2</v>
      </c>
    </row>
    <row r="26" spans="1:7">
      <c r="A26" s="31">
        <v>41578</v>
      </c>
      <c r="B26" s="72">
        <v>1756.54</v>
      </c>
      <c r="C26" s="72">
        <v>176.25</v>
      </c>
      <c r="E26" s="32">
        <f t="shared" si="1"/>
        <v>4.4595759864410889E-2</v>
      </c>
      <c r="F26" s="32">
        <f t="shared" si="1"/>
        <v>-3.2284631856366319E-2</v>
      </c>
    </row>
    <row r="27" spans="1:7">
      <c r="A27" s="31">
        <v>41608</v>
      </c>
      <c r="B27" s="72">
        <v>1805.81</v>
      </c>
      <c r="C27" s="72">
        <v>177.67</v>
      </c>
      <c r="E27" s="32">
        <f t="shared" si="1"/>
        <v>2.804946087194149E-2</v>
      </c>
      <c r="F27" s="32">
        <f t="shared" si="1"/>
        <v>8.0567375886524406E-3</v>
      </c>
    </row>
    <row r="28" spans="1:7">
      <c r="A28" s="31">
        <v>41639</v>
      </c>
      <c r="B28" s="72">
        <v>1848.36</v>
      </c>
      <c r="C28" s="72">
        <v>185.47</v>
      </c>
      <c r="E28" s="32">
        <f t="shared" si="1"/>
        <v>2.3562833299184183E-2</v>
      </c>
      <c r="F28" s="32">
        <f t="shared" si="1"/>
        <v>4.3901615354308587E-2</v>
      </c>
    </row>
    <row r="30" spans="1:7">
      <c r="C30" s="2" t="s">
        <v>37</v>
      </c>
      <c r="D30" s="2"/>
      <c r="E30" s="2"/>
      <c r="F30" s="35">
        <f>SLOPE(F5:F28,E5:E28)</f>
        <v>1.1613900468069287</v>
      </c>
      <c r="G30" t="e">
        <f ca="1">getformula(F30)</f>
        <v>#NAME?</v>
      </c>
    </row>
    <row r="31" spans="1:7">
      <c r="F31" s="35">
        <f>_xlfn.COVARIANCE.P(F5:F28,E5:E28)/_xlfn.VAR.P(E5:E28)</f>
        <v>1.1613900468069285</v>
      </c>
      <c r="G31" t="e">
        <f ca="1">getformula(F31)</f>
        <v>#NAME?</v>
      </c>
    </row>
    <row r="33" spans="3:7">
      <c r="C33" s="2" t="s">
        <v>38</v>
      </c>
      <c r="D33" s="2"/>
      <c r="E33" s="2"/>
      <c r="F33" s="34">
        <f>INTERCEPT(F5:F28,E5:E28)</f>
        <v>-1.5955692372512122E-2</v>
      </c>
      <c r="G33" t="e">
        <f ca="1">getformula(F33)</f>
        <v>#NAME?</v>
      </c>
    </row>
    <row r="34" spans="3:7">
      <c r="F34" s="34">
        <f>AVERAGE(F5:F28)-F30*AVERAGE(E5:E28)</f>
        <v>-1.5955692372512122E-2</v>
      </c>
      <c r="G34" t="e">
        <f ca="1">getformula(F34)</f>
        <v>#NAME?</v>
      </c>
    </row>
    <row r="36" spans="3:7">
      <c r="C36" s="2" t="s">
        <v>39</v>
      </c>
      <c r="D36" s="2"/>
      <c r="E36" s="2"/>
      <c r="F36" s="33">
        <f>RSQ(F5:F28,E5:E28)</f>
        <v>0.53802705587143174</v>
      </c>
      <c r="G36" t="e">
        <f ca="1">getformula(F36)</f>
        <v>#NAME?</v>
      </c>
    </row>
    <row r="37" spans="3:7">
      <c r="F37" s="33">
        <f>CORREL(F5:F28,E5:E28)^2</f>
        <v>0.53802705587143174</v>
      </c>
      <c r="G37" t="e">
        <f ca="1">getformula(F37)</f>
        <v>#NAME?</v>
      </c>
    </row>
  </sheetData>
  <mergeCells count="3">
    <mergeCell ref="A1:M1"/>
    <mergeCell ref="B2:C2"/>
    <mergeCell ref="E2:F2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A7" workbookViewId="0">
      <selection activeCell="P11" sqref="P11"/>
    </sheetView>
  </sheetViews>
  <sheetFormatPr defaultRowHeight="12.75"/>
  <cols>
    <col min="1" max="1" width="10.5703125" style="3" bestFit="1" customWidth="1"/>
    <col min="2" max="3" width="8.5703125" customWidth="1"/>
    <col min="4" max="4" width="1.85546875" customWidth="1"/>
    <col min="5" max="6" width="8.140625" customWidth="1"/>
  </cols>
  <sheetData>
    <row r="1" spans="1:13" ht="40.15" customHeight="1">
      <c r="A1" s="124" t="s">
        <v>32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</row>
    <row r="2" spans="1:13" s="42" customFormat="1" ht="27.75" customHeight="1">
      <c r="A2" s="52"/>
      <c r="B2" s="131" t="s">
        <v>35</v>
      </c>
      <c r="C2" s="131"/>
      <c r="D2" s="52"/>
      <c r="E2" s="131" t="s">
        <v>36</v>
      </c>
      <c r="F2" s="122"/>
    </row>
    <row r="3" spans="1:13" s="42" customFormat="1" ht="15">
      <c r="A3" s="52" t="s">
        <v>0</v>
      </c>
      <c r="B3" s="52" t="s">
        <v>33</v>
      </c>
      <c r="C3" s="52" t="s">
        <v>34</v>
      </c>
      <c r="D3" s="52"/>
      <c r="E3" s="52" t="s">
        <v>33</v>
      </c>
      <c r="F3" s="52" t="s">
        <v>34</v>
      </c>
    </row>
    <row r="4" spans="1:13" s="42" customFormat="1" ht="14.25">
      <c r="A4" s="78">
        <v>40908</v>
      </c>
      <c r="B4" s="73">
        <v>1257.5999999999999</v>
      </c>
      <c r="C4" s="73">
        <v>175.4</v>
      </c>
    </row>
    <row r="5" spans="1:13" s="42" customFormat="1" ht="14.25">
      <c r="A5" s="78">
        <v>40939</v>
      </c>
      <c r="B5" s="73">
        <v>1312.41</v>
      </c>
      <c r="C5" s="73">
        <v>183.72</v>
      </c>
      <c r="E5" s="74">
        <f>B5/B4-1</f>
        <v>4.3583015267175673E-2</v>
      </c>
      <c r="F5" s="74">
        <f>C5/C4-1</f>
        <v>4.7434435575826717E-2</v>
      </c>
      <c r="G5" s="42" t="e">
        <f ca="1">getformula(F5)</f>
        <v>#NAME?</v>
      </c>
    </row>
    <row r="6" spans="1:13" s="42" customFormat="1" ht="14.25">
      <c r="A6" s="78">
        <v>40968</v>
      </c>
      <c r="B6" s="73">
        <v>1365.68</v>
      </c>
      <c r="C6" s="73">
        <v>188.39</v>
      </c>
      <c r="E6" s="74">
        <f t="shared" ref="E6:F21" si="0">B6/B5-1</f>
        <v>4.0589449943234213E-2</v>
      </c>
      <c r="F6" s="74">
        <f t="shared" si="0"/>
        <v>2.5419116046157209E-2</v>
      </c>
      <c r="G6" s="42" t="e">
        <f ca="1">getformula(F6)</f>
        <v>#NAME?</v>
      </c>
    </row>
    <row r="7" spans="1:13" s="42" customFormat="1" ht="14.25">
      <c r="A7" s="78">
        <v>40999</v>
      </c>
      <c r="B7" s="73">
        <v>1408.47</v>
      </c>
      <c r="C7" s="73">
        <v>199.81</v>
      </c>
      <c r="E7" s="74">
        <f t="shared" si="0"/>
        <v>3.1332376545017748E-2</v>
      </c>
      <c r="F7" s="74">
        <f t="shared" si="0"/>
        <v>6.0618928817878004E-2</v>
      </c>
    </row>
    <row r="8" spans="1:13" s="42" customFormat="1" ht="14.25">
      <c r="A8" s="78">
        <v>41029</v>
      </c>
      <c r="B8" s="73">
        <v>1397.91</v>
      </c>
      <c r="C8" s="73">
        <v>198.3</v>
      </c>
      <c r="E8" s="74">
        <f t="shared" si="0"/>
        <v>-7.497497284287169E-3</v>
      </c>
      <c r="F8" s="74">
        <f t="shared" si="0"/>
        <v>-7.5571793203542681E-3</v>
      </c>
    </row>
    <row r="9" spans="1:13" s="42" customFormat="1" ht="14.25">
      <c r="A9" s="78">
        <v>41060</v>
      </c>
      <c r="B9" s="73">
        <v>1310.33</v>
      </c>
      <c r="C9" s="73">
        <v>185.5</v>
      </c>
      <c r="E9" s="74">
        <f t="shared" si="0"/>
        <v>-6.2650671359386623E-2</v>
      </c>
      <c r="F9" s="74">
        <f t="shared" si="0"/>
        <v>-6.4548663640948134E-2</v>
      </c>
    </row>
    <row r="10" spans="1:13" s="42" customFormat="1" ht="14.25">
      <c r="A10" s="78">
        <v>41090</v>
      </c>
      <c r="B10" s="73">
        <v>1362.16</v>
      </c>
      <c r="C10" s="73">
        <v>188.08</v>
      </c>
      <c r="E10" s="74">
        <f t="shared" si="0"/>
        <v>3.9554921279372435E-2</v>
      </c>
      <c r="F10" s="74">
        <f t="shared" si="0"/>
        <v>1.3908355795148264E-2</v>
      </c>
    </row>
    <row r="11" spans="1:13" s="42" customFormat="1" ht="14.25">
      <c r="A11" s="78">
        <v>41121</v>
      </c>
      <c r="B11" s="73">
        <v>1379.32</v>
      </c>
      <c r="C11" s="73">
        <v>188.46</v>
      </c>
      <c r="E11" s="74">
        <f t="shared" si="0"/>
        <v>1.2597639043871345E-2</v>
      </c>
      <c r="F11" s="74">
        <f t="shared" si="0"/>
        <v>2.0204168438962E-3</v>
      </c>
    </row>
    <row r="12" spans="1:13" s="42" customFormat="1" ht="14.25">
      <c r="A12" s="78">
        <v>41152</v>
      </c>
      <c r="B12" s="73">
        <v>1406.58</v>
      </c>
      <c r="C12" s="73">
        <v>188.17</v>
      </c>
      <c r="E12" s="74">
        <f t="shared" si="0"/>
        <v>1.9763361656468303E-2</v>
      </c>
      <c r="F12" s="74">
        <f t="shared" si="0"/>
        <v>-1.5387880717394609E-3</v>
      </c>
    </row>
    <row r="13" spans="1:13" s="42" customFormat="1" ht="14.25">
      <c r="A13" s="78">
        <v>41182</v>
      </c>
      <c r="B13" s="73">
        <v>1440.67</v>
      </c>
      <c r="C13" s="73">
        <v>200.34</v>
      </c>
      <c r="E13" s="74">
        <f t="shared" si="0"/>
        <v>2.4236090375236552E-2</v>
      </c>
      <c r="F13" s="74">
        <f t="shared" si="0"/>
        <v>6.4675559334644195E-2</v>
      </c>
    </row>
    <row r="14" spans="1:13" s="42" customFormat="1" ht="14.25">
      <c r="A14" s="78">
        <v>41213</v>
      </c>
      <c r="B14" s="73">
        <v>1412.16</v>
      </c>
      <c r="C14" s="73">
        <v>187.87</v>
      </c>
      <c r="E14" s="74">
        <f t="shared" si="0"/>
        <v>-1.9789403541407791E-2</v>
      </c>
      <c r="F14" s="74">
        <f t="shared" si="0"/>
        <v>-6.2244184885694276E-2</v>
      </c>
    </row>
    <row r="15" spans="1:13" s="42" customFormat="1" ht="14.25">
      <c r="A15" s="78">
        <v>41243</v>
      </c>
      <c r="B15" s="73">
        <v>1416.18</v>
      </c>
      <c r="C15" s="73">
        <v>184.36</v>
      </c>
      <c r="E15" s="74">
        <f t="shared" si="0"/>
        <v>2.8467029231815655E-3</v>
      </c>
      <c r="F15" s="74">
        <f t="shared" si="0"/>
        <v>-1.868313195294613E-2</v>
      </c>
    </row>
    <row r="16" spans="1:13" s="42" customFormat="1" ht="14.25">
      <c r="A16" s="78">
        <v>41274</v>
      </c>
      <c r="B16" s="73">
        <v>1426.19</v>
      </c>
      <c r="C16" s="73">
        <v>185.8</v>
      </c>
      <c r="E16" s="74">
        <f t="shared" si="0"/>
        <v>7.0683105254980561E-3</v>
      </c>
      <c r="F16" s="74">
        <f t="shared" si="0"/>
        <v>7.8108049468430529E-3</v>
      </c>
    </row>
    <row r="17" spans="1:7" s="42" customFormat="1" ht="14.25">
      <c r="A17" s="78">
        <v>41305</v>
      </c>
      <c r="B17" s="73">
        <v>1498.11</v>
      </c>
      <c r="C17" s="73">
        <v>196.97</v>
      </c>
      <c r="E17" s="74">
        <f t="shared" si="0"/>
        <v>5.0428063581991145E-2</v>
      </c>
      <c r="F17" s="74">
        <f t="shared" si="0"/>
        <v>6.0118406889128062E-2</v>
      </c>
    </row>
    <row r="18" spans="1:7" s="42" customFormat="1" ht="14.25">
      <c r="A18" s="78">
        <v>41333</v>
      </c>
      <c r="B18" s="73">
        <v>1514.68</v>
      </c>
      <c r="C18" s="73">
        <v>195.62</v>
      </c>
      <c r="E18" s="74">
        <f t="shared" si="0"/>
        <v>1.1060603026480154E-2</v>
      </c>
      <c r="F18" s="74">
        <f t="shared" si="0"/>
        <v>-6.853835609483605E-3</v>
      </c>
    </row>
    <row r="19" spans="1:7" s="42" customFormat="1" ht="14.25">
      <c r="A19" s="78">
        <v>41364</v>
      </c>
      <c r="B19" s="73">
        <v>1569.19</v>
      </c>
      <c r="C19" s="73">
        <v>207.77</v>
      </c>
      <c r="E19" s="74">
        <f t="shared" si="0"/>
        <v>3.5987799403174314E-2</v>
      </c>
      <c r="F19" s="74">
        <f t="shared" si="0"/>
        <v>6.2110213679582804E-2</v>
      </c>
    </row>
    <row r="20" spans="1:7" s="42" customFormat="1" ht="14.25">
      <c r="A20" s="78">
        <v>41394</v>
      </c>
      <c r="B20" s="73">
        <v>1597.57</v>
      </c>
      <c r="C20" s="73">
        <v>197.28</v>
      </c>
      <c r="E20" s="74">
        <f t="shared" si="0"/>
        <v>1.8085763992887971E-2</v>
      </c>
      <c r="F20" s="74">
        <f t="shared" si="0"/>
        <v>-5.0488520960677685E-2</v>
      </c>
    </row>
    <row r="21" spans="1:7" s="42" customFormat="1" ht="14.25">
      <c r="A21" s="78">
        <v>41425</v>
      </c>
      <c r="B21" s="73">
        <v>1630.74</v>
      </c>
      <c r="C21" s="73">
        <v>203.57</v>
      </c>
      <c r="E21" s="74">
        <f t="shared" si="0"/>
        <v>2.0762783477406455E-2</v>
      </c>
      <c r="F21" s="74">
        <f t="shared" si="0"/>
        <v>3.1883617193836145E-2</v>
      </c>
    </row>
    <row r="22" spans="1:7" s="42" customFormat="1" ht="14.25">
      <c r="A22" s="78">
        <v>41455</v>
      </c>
      <c r="B22" s="73">
        <v>1606.28</v>
      </c>
      <c r="C22" s="73">
        <v>187.02</v>
      </c>
      <c r="E22" s="74">
        <f t="shared" ref="E22:F28" si="1">B22/B21-1</f>
        <v>-1.499932545960736E-2</v>
      </c>
      <c r="F22" s="74">
        <f t="shared" si="1"/>
        <v>-8.1298816132042928E-2</v>
      </c>
    </row>
    <row r="23" spans="1:7" s="42" customFormat="1" ht="14.25">
      <c r="A23" s="78">
        <v>41486</v>
      </c>
      <c r="B23" s="73">
        <v>1685.73</v>
      </c>
      <c r="C23" s="73">
        <v>190.87</v>
      </c>
      <c r="E23" s="74">
        <f t="shared" si="1"/>
        <v>4.9462111213487203E-2</v>
      </c>
      <c r="F23" s="74">
        <f t="shared" si="1"/>
        <v>2.0586033579296226E-2</v>
      </c>
    </row>
    <row r="24" spans="1:7" s="42" customFormat="1" ht="14.25">
      <c r="A24" s="78">
        <v>41517</v>
      </c>
      <c r="B24" s="73">
        <v>1632.97</v>
      </c>
      <c r="C24" s="73">
        <v>179.26</v>
      </c>
      <c r="E24" s="74">
        <f t="shared" si="1"/>
        <v>-3.1298013323604601E-2</v>
      </c>
      <c r="F24" s="74">
        <f t="shared" si="1"/>
        <v>-6.0826740713574745E-2</v>
      </c>
    </row>
    <row r="25" spans="1:7" s="42" customFormat="1" ht="14.25">
      <c r="A25" s="78">
        <v>41547</v>
      </c>
      <c r="B25" s="73">
        <v>1681.55</v>
      </c>
      <c r="C25" s="73">
        <v>182.13</v>
      </c>
      <c r="E25" s="74">
        <f t="shared" si="1"/>
        <v>2.9749474883188354E-2</v>
      </c>
      <c r="F25" s="74">
        <f t="shared" si="1"/>
        <v>1.6010264420394993E-2</v>
      </c>
    </row>
    <row r="26" spans="1:7" s="42" customFormat="1" ht="14.25">
      <c r="A26" s="78">
        <v>41578</v>
      </c>
      <c r="B26" s="73">
        <v>1756.54</v>
      </c>
      <c r="C26" s="73">
        <v>176.25</v>
      </c>
      <c r="E26" s="74">
        <f t="shared" si="1"/>
        <v>4.4595759864410889E-2</v>
      </c>
      <c r="F26" s="74">
        <f t="shared" si="1"/>
        <v>-3.2284631856366319E-2</v>
      </c>
    </row>
    <row r="27" spans="1:7" s="42" customFormat="1" ht="14.25">
      <c r="A27" s="78">
        <v>41608</v>
      </c>
      <c r="B27" s="73">
        <v>1805.81</v>
      </c>
      <c r="C27" s="73">
        <v>177.67</v>
      </c>
      <c r="E27" s="74">
        <f t="shared" si="1"/>
        <v>2.804946087194149E-2</v>
      </c>
      <c r="F27" s="74">
        <f t="shared" si="1"/>
        <v>8.0567375886524406E-3</v>
      </c>
    </row>
    <row r="28" spans="1:7" s="42" customFormat="1" ht="14.25">
      <c r="A28" s="78">
        <v>41639</v>
      </c>
      <c r="B28" s="73">
        <v>1848.36</v>
      </c>
      <c r="C28" s="73">
        <v>185.47</v>
      </c>
      <c r="E28" s="74">
        <f t="shared" si="1"/>
        <v>2.3562833299184183E-2</v>
      </c>
      <c r="F28" s="74">
        <f t="shared" si="1"/>
        <v>4.3901615354308587E-2</v>
      </c>
    </row>
    <row r="29" spans="1:7" s="42" customFormat="1" ht="14.25">
      <c r="A29" s="45"/>
    </row>
    <row r="30" spans="1:7" s="42" customFormat="1" ht="14.25">
      <c r="A30" s="45"/>
      <c r="C30" s="47" t="s">
        <v>37</v>
      </c>
      <c r="D30" s="47"/>
      <c r="E30" s="47"/>
      <c r="F30" s="75">
        <f>SLOPE(F5:F28,E5:E28)</f>
        <v>1.1613900468069287</v>
      </c>
      <c r="G30" s="42" t="e">
        <f ca="1">getformula(F30)</f>
        <v>#NAME?</v>
      </c>
    </row>
    <row r="31" spans="1:7" s="42" customFormat="1" ht="14.25">
      <c r="A31" s="45"/>
      <c r="F31" s="75">
        <f>_xlfn.COVARIANCE.S(F5:F28,E5:E28)/_xlfn.VAR.S(E5:E28)</f>
        <v>1.1613900468069283</v>
      </c>
      <c r="G31" s="42" t="e">
        <f ca="1">getformula(F31)</f>
        <v>#NAME?</v>
      </c>
    </row>
    <row r="32" spans="1:7" s="42" customFormat="1" ht="14.25">
      <c r="A32" s="45"/>
    </row>
    <row r="33" spans="1:7" s="42" customFormat="1" ht="14.25">
      <c r="A33" s="45"/>
      <c r="C33" s="47" t="s">
        <v>38</v>
      </c>
      <c r="D33" s="47"/>
      <c r="E33" s="47"/>
      <c r="F33" s="76">
        <f>INTERCEPT(F5:F28,E5:E28)</f>
        <v>-1.5955692372512122E-2</v>
      </c>
      <c r="G33" s="42" t="e">
        <f ca="1">getformula(F33)</f>
        <v>#NAME?</v>
      </c>
    </row>
    <row r="34" spans="1:7" s="42" customFormat="1" ht="14.25">
      <c r="A34" s="45"/>
      <c r="F34" s="76">
        <f>AVERAGE(F5:F28)-F30*AVERAGE(E5:E28)</f>
        <v>-1.5955692372512122E-2</v>
      </c>
      <c r="G34" s="42" t="e">
        <f ca="1">getformula(F34)</f>
        <v>#NAME?</v>
      </c>
    </row>
    <row r="35" spans="1:7" s="42" customFormat="1" ht="14.25">
      <c r="A35" s="45"/>
    </row>
    <row r="36" spans="1:7" s="42" customFormat="1" ht="14.25">
      <c r="A36" s="45"/>
      <c r="C36" s="47" t="s">
        <v>39</v>
      </c>
      <c r="D36" s="47"/>
      <c r="E36" s="47"/>
      <c r="F36" s="77">
        <f>RSQ(F5:F28,E5:E28)</f>
        <v>0.53802705587143174</v>
      </c>
      <c r="G36" s="42" t="e">
        <f ca="1">getformula(F36)</f>
        <v>#NAME?</v>
      </c>
    </row>
    <row r="37" spans="1:7" s="42" customFormat="1" ht="14.25">
      <c r="A37" s="45"/>
      <c r="F37" s="77">
        <f>CORREL(F5:F28,E5:E28)^2</f>
        <v>0.53802705587143174</v>
      </c>
      <c r="G37" s="42" t="e">
        <f ca="1">getformula(F37)</f>
        <v>#NAME?</v>
      </c>
    </row>
    <row r="38" spans="1:7" s="42" customFormat="1" ht="14.25">
      <c r="A38" s="45"/>
    </row>
    <row r="39" spans="1:7" s="42" customFormat="1" ht="14.25">
      <c r="A39" s="45"/>
    </row>
  </sheetData>
  <mergeCells count="3">
    <mergeCell ref="A1:M1"/>
    <mergeCell ref="B2:C2"/>
    <mergeCell ref="E2:F2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E25"/>
  <sheetViews>
    <sheetView workbookViewId="0">
      <selection activeCell="B21" sqref="A1:E21"/>
    </sheetView>
  </sheetViews>
  <sheetFormatPr defaultColWidth="9.140625" defaultRowHeight="12.75"/>
  <cols>
    <col min="1" max="1" width="12.5703125" style="79" bestFit="1" customWidth="1"/>
    <col min="2" max="2" width="9.140625" style="79"/>
    <col min="3" max="3" width="11" style="79" bestFit="1" customWidth="1"/>
    <col min="4" max="4" width="9.140625" style="79"/>
    <col min="5" max="5" width="18.28515625" style="79" customWidth="1"/>
    <col min="6" max="16384" width="9.140625" style="79"/>
  </cols>
  <sheetData>
    <row r="1" spans="1:5" ht="21" customHeight="1">
      <c r="A1" s="134" t="s">
        <v>69</v>
      </c>
      <c r="B1" s="134"/>
      <c r="C1" s="134"/>
      <c r="D1" s="134"/>
      <c r="E1" s="134"/>
    </row>
    <row r="2" spans="1:5" s="81" customFormat="1" ht="25.5">
      <c r="A2" s="15" t="s">
        <v>40</v>
      </c>
      <c r="B2" s="15" t="s">
        <v>41</v>
      </c>
      <c r="C2" s="15" t="s">
        <v>30</v>
      </c>
      <c r="D2" s="15" t="s">
        <v>34</v>
      </c>
    </row>
    <row r="3" spans="1:5">
      <c r="A3" s="82">
        <v>38352</v>
      </c>
      <c r="B3" s="23">
        <v>0.249</v>
      </c>
      <c r="C3" s="23">
        <v>0.20098383696416011</v>
      </c>
      <c r="D3" s="23">
        <v>7.1855525880707205E-2</v>
      </c>
    </row>
    <row r="4" spans="1:5">
      <c r="A4" s="82">
        <v>38717</v>
      </c>
      <c r="B4" s="23">
        <v>0.379</v>
      </c>
      <c r="C4" s="23">
        <v>-9.0696313633704673E-3</v>
      </c>
      <c r="D4" s="23">
        <v>-0.15828191741813014</v>
      </c>
    </row>
    <row r="5" spans="1:5">
      <c r="A5" s="82">
        <v>39082</v>
      </c>
      <c r="B5" s="23">
        <v>0.28399999999999997</v>
      </c>
      <c r="C5" s="23">
        <v>0.18600531443755552</v>
      </c>
      <c r="D5" s="23">
        <v>0.19777276571750768</v>
      </c>
    </row>
    <row r="6" spans="1:5">
      <c r="A6" s="82">
        <v>39447</v>
      </c>
      <c r="B6" s="23">
        <v>-1.1000000000000001E-3</v>
      </c>
      <c r="C6" s="23">
        <v>7.1446352999750884E-2</v>
      </c>
      <c r="D6" s="23">
        <v>0.12828056961280465</v>
      </c>
    </row>
    <row r="7" spans="1:5">
      <c r="A7" s="82">
        <v>39813</v>
      </c>
      <c r="B7" s="23">
        <v>-0.50070000000000003</v>
      </c>
      <c r="C7" s="23">
        <v>-0.14126394052044611</v>
      </c>
      <c r="D7" s="23">
        <v>-0.20778137060602897</v>
      </c>
    </row>
    <row r="8" spans="1:5">
      <c r="A8" s="82">
        <v>40178</v>
      </c>
      <c r="B8" s="23">
        <v>0.31790000000000002</v>
      </c>
      <c r="C8" s="23">
        <v>0.25243506493506485</v>
      </c>
      <c r="D8" s="23">
        <v>0.58630678077682696</v>
      </c>
    </row>
    <row r="9" spans="1:5">
      <c r="A9" s="82">
        <v>40543</v>
      </c>
      <c r="B9" s="23">
        <v>0.2359</v>
      </c>
      <c r="C9" s="23">
        <v>-1.015338085979689E-2</v>
      </c>
      <c r="D9" s="23">
        <v>0.14267928286852571</v>
      </c>
    </row>
    <row r="10" spans="1:5">
      <c r="A10" s="82">
        <v>40908</v>
      </c>
      <c r="B10" s="23">
        <v>0.15140000000000001</v>
      </c>
      <c r="C10" s="23">
        <v>2.204277608031413E-2</v>
      </c>
      <c r="D10" s="23">
        <v>0.27406116074671338</v>
      </c>
    </row>
    <row r="11" spans="1:5">
      <c r="A11" s="82">
        <v>41274</v>
      </c>
      <c r="B11" s="23">
        <v>5.21E-2</v>
      </c>
      <c r="C11" s="23">
        <v>0.1415759128763614</v>
      </c>
      <c r="D11" s="23">
        <v>5.9293044469783451E-2</v>
      </c>
    </row>
    <row r="12" spans="1:5">
      <c r="A12" s="82">
        <v>41639</v>
      </c>
      <c r="B12" s="23">
        <v>0.84740000000000004</v>
      </c>
      <c r="C12" s="23">
        <v>0.12607557052001495</v>
      </c>
      <c r="D12" s="23">
        <v>-1.776103336921464E-3</v>
      </c>
    </row>
    <row r="13" spans="1:5">
      <c r="A13" s="83"/>
      <c r="B13" s="23"/>
      <c r="C13" s="23"/>
      <c r="D13" s="23"/>
    </row>
    <row r="14" spans="1:5">
      <c r="A14" s="21" t="s">
        <v>44</v>
      </c>
      <c r="B14" s="27">
        <f>AVERAGE(B3:B12)</f>
        <v>0.20149</v>
      </c>
      <c r="C14" s="27">
        <f>AVERAGE(C3:C12)</f>
        <v>8.4007787606960843E-2</v>
      </c>
      <c r="D14" s="27">
        <f>AVERAGE(D3:D12)</f>
        <v>0.10924097387117886</v>
      </c>
      <c r="E14" s="79" t="e">
        <f ca="1">getformula(D14)</f>
        <v>#NAME?</v>
      </c>
    </row>
    <row r="15" spans="1:5">
      <c r="A15" s="21" t="s">
        <v>27</v>
      </c>
      <c r="B15" s="26">
        <f>_xlfn.VAR.S(B3:B12)</f>
        <v>0.11460553877777777</v>
      </c>
      <c r="C15" s="26">
        <f>_xlfn.VAR.S(C3:C12)</f>
        <v>1.4423662456976426E-2</v>
      </c>
      <c r="D15" s="26">
        <f>_xlfn.VAR.S(D3:D12)</f>
        <v>5.0262767340970294E-2</v>
      </c>
      <c r="E15" s="79" t="e">
        <f ca="1">getformula(D15)</f>
        <v>#NAME?</v>
      </c>
    </row>
    <row r="16" spans="1:5">
      <c r="A16" s="21" t="s">
        <v>45</v>
      </c>
      <c r="B16" s="23">
        <f>_xlfn.STDEV.S(B3:B12)</f>
        <v>0.33853439821940956</v>
      </c>
      <c r="C16" s="23">
        <f>_xlfn.STDEV.S(C3:C12)</f>
        <v>0.12009855310109455</v>
      </c>
      <c r="D16" s="23">
        <f>_xlfn.STDEV.S(D3:D12)</f>
        <v>0.22419359344318984</v>
      </c>
      <c r="E16" s="79" t="e">
        <f ca="1">getformula(D16)</f>
        <v>#NAME?</v>
      </c>
    </row>
    <row r="17" spans="1:5">
      <c r="A17" s="21"/>
      <c r="B17" s="21"/>
      <c r="C17" s="21"/>
      <c r="D17" s="21"/>
    </row>
    <row r="18" spans="1:5">
      <c r="A18" s="132" t="s">
        <v>46</v>
      </c>
      <c r="B18" s="132"/>
      <c r="C18" s="133"/>
      <c r="D18" s="133"/>
    </row>
    <row r="19" spans="1:5" ht="15.75">
      <c r="A19" s="21" t="s">
        <v>47</v>
      </c>
      <c r="B19" s="26">
        <f>_xlfn.COVARIANCE.S(B3:B12,C3:C12)</f>
        <v>2.1802423512750687E-2</v>
      </c>
      <c r="C19" s="21" t="e">
        <f ca="1">getformula(B19)</f>
        <v>#NAME?</v>
      </c>
      <c r="D19" s="26"/>
    </row>
    <row r="20" spans="1:5" s="87" customFormat="1" ht="15.75">
      <c r="A20" s="84" t="s">
        <v>48</v>
      </c>
      <c r="B20" s="85">
        <f>_xlfn.COVARIANCE.S(B3:B12,D3:D12)</f>
        <v>1.7886439545920303E-2</v>
      </c>
      <c r="C20" s="84" t="e">
        <f ca="1">getformula(B20)</f>
        <v>#NAME?</v>
      </c>
      <c r="D20" s="85"/>
      <c r="E20" s="86"/>
    </row>
    <row r="21" spans="1:5" ht="15.75">
      <c r="A21" s="21" t="s">
        <v>49</v>
      </c>
      <c r="B21" s="26">
        <f>_xlfn.COVARIANCE.S(D3:D12,C3:C12)</f>
        <v>1.7797526419648147E-2</v>
      </c>
      <c r="C21" s="21" t="e">
        <f ca="1">getformula(B21)</f>
        <v>#NAME?</v>
      </c>
      <c r="D21" s="26"/>
    </row>
    <row r="23" spans="1:5">
      <c r="A23" s="21"/>
      <c r="B23" s="27"/>
      <c r="C23" s="27"/>
      <c r="D23" s="27"/>
    </row>
    <row r="24" spans="1:5">
      <c r="A24" s="21"/>
      <c r="B24" s="26"/>
      <c r="C24" s="26"/>
      <c r="D24" s="26"/>
    </row>
    <row r="25" spans="1:5">
      <c r="A25" s="21"/>
      <c r="B25" s="23"/>
      <c r="C25" s="23"/>
      <c r="D25" s="23"/>
    </row>
  </sheetData>
  <mergeCells count="3">
    <mergeCell ref="A18:B18"/>
    <mergeCell ref="C18:D18"/>
    <mergeCell ref="A1:E1"/>
  </mergeCells>
  <printOptions headings="1" gridLines="1"/>
  <pageMargins left="0.7" right="0.7" top="0.75" bottom="0.75" header="0.3" footer="0.3"/>
  <pageSetup orientation="portrait" verticalDpi="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G62"/>
  <sheetViews>
    <sheetView topLeftCell="A12" workbookViewId="0">
      <selection sqref="A1:F33"/>
    </sheetView>
  </sheetViews>
  <sheetFormatPr defaultColWidth="9.140625" defaultRowHeight="12.75"/>
  <cols>
    <col min="1" max="1" width="12.5703125" style="79" bestFit="1" customWidth="1"/>
    <col min="2" max="2" width="9.140625" style="79"/>
    <col min="3" max="3" width="11" style="79" bestFit="1" customWidth="1"/>
    <col min="4" max="4" width="9.140625" style="79"/>
    <col min="5" max="5" width="9.140625" style="79" customWidth="1"/>
    <col min="6" max="6" width="38.42578125" style="79" customWidth="1"/>
    <col min="7" max="16384" width="9.140625" style="79"/>
  </cols>
  <sheetData>
    <row r="1" spans="1:6" ht="21" customHeight="1">
      <c r="A1" s="134" t="s">
        <v>75</v>
      </c>
      <c r="B1" s="134"/>
      <c r="C1" s="134"/>
      <c r="D1" s="134"/>
      <c r="E1" s="134"/>
      <c r="F1" s="134"/>
    </row>
    <row r="2" spans="1:6" ht="28.5">
      <c r="A2" s="116" t="s">
        <v>43</v>
      </c>
      <c r="B2" s="117">
        <v>0.2</v>
      </c>
      <c r="C2" s="117">
        <v>0.5</v>
      </c>
      <c r="D2" s="117">
        <f>1-B2-C2</f>
        <v>0.30000000000000004</v>
      </c>
      <c r="E2" s="94"/>
      <c r="F2" s="21"/>
    </row>
    <row r="3" spans="1:6" s="93" customFormat="1" ht="13.35" customHeight="1">
      <c r="A3" s="92"/>
      <c r="B3" s="92"/>
      <c r="C3" s="92"/>
      <c r="D3" s="92"/>
      <c r="E3" s="92"/>
      <c r="F3" s="92"/>
    </row>
    <row r="4" spans="1:6" s="81" customFormat="1" ht="45">
      <c r="A4" s="109" t="s">
        <v>40</v>
      </c>
      <c r="B4" s="109" t="s">
        <v>41</v>
      </c>
      <c r="C4" s="109" t="s">
        <v>30</v>
      </c>
      <c r="D4" s="109" t="s">
        <v>34</v>
      </c>
      <c r="E4" s="110" t="s">
        <v>42</v>
      </c>
      <c r="F4" s="80"/>
    </row>
    <row r="5" spans="1:6" ht="14.25">
      <c r="A5" s="111">
        <v>38352</v>
      </c>
      <c r="B5" s="103">
        <v>0.249</v>
      </c>
      <c r="C5" s="103">
        <v>0.20098383696416011</v>
      </c>
      <c r="D5" s="103">
        <v>7.1855525880707205E-2</v>
      </c>
      <c r="E5" s="103">
        <f t="shared" ref="E5:E14" si="0">$B$2*B5+$C$2*C5+$D$2*D5</f>
        <v>0.17184857624629224</v>
      </c>
      <c r="F5" s="21" t="e">
        <f ca="1">getformula(E5)</f>
        <v>#NAME?</v>
      </c>
    </row>
    <row r="6" spans="1:6" ht="14.25">
      <c r="A6" s="111">
        <v>38717</v>
      </c>
      <c r="B6" s="103">
        <v>0.379</v>
      </c>
      <c r="C6" s="103">
        <v>-9.0696313633704673E-3</v>
      </c>
      <c r="D6" s="103">
        <v>-0.15828191741813014</v>
      </c>
      <c r="E6" s="103">
        <f t="shared" si="0"/>
        <v>2.3780609092875722E-2</v>
      </c>
      <c r="F6" s="21" t="e">
        <f ca="1">getformula(E6)</f>
        <v>#NAME?</v>
      </c>
    </row>
    <row r="7" spans="1:6" ht="14.25">
      <c r="A7" s="111">
        <v>39082</v>
      </c>
      <c r="B7" s="103">
        <v>0.28399999999999997</v>
      </c>
      <c r="C7" s="103">
        <v>0.18600531443755552</v>
      </c>
      <c r="D7" s="103">
        <v>0.19777276571750768</v>
      </c>
      <c r="E7" s="103">
        <f t="shared" si="0"/>
        <v>0.20913448693403006</v>
      </c>
      <c r="F7" s="21"/>
    </row>
    <row r="8" spans="1:6" ht="14.25">
      <c r="A8" s="111">
        <v>39447</v>
      </c>
      <c r="B8" s="103">
        <v>-1.1000000000000001E-3</v>
      </c>
      <c r="C8" s="103">
        <v>7.1446352999750884E-2</v>
      </c>
      <c r="D8" s="103">
        <v>0.12828056961280465</v>
      </c>
      <c r="E8" s="103">
        <f t="shared" si="0"/>
        <v>7.3987347383716845E-2</v>
      </c>
      <c r="F8" s="21"/>
    </row>
    <row r="9" spans="1:6" ht="14.25">
      <c r="A9" s="111">
        <v>39813</v>
      </c>
      <c r="B9" s="103">
        <v>-0.50070000000000003</v>
      </c>
      <c r="C9" s="103">
        <v>-0.14126394052044611</v>
      </c>
      <c r="D9" s="103">
        <v>-0.20778137060602897</v>
      </c>
      <c r="E9" s="103">
        <f t="shared" si="0"/>
        <v>-0.23310638144203177</v>
      </c>
      <c r="F9" s="21"/>
    </row>
    <row r="10" spans="1:6" ht="14.25">
      <c r="A10" s="111">
        <v>40178</v>
      </c>
      <c r="B10" s="103">
        <v>0.31790000000000002</v>
      </c>
      <c r="C10" s="103">
        <v>0.25243506493506485</v>
      </c>
      <c r="D10" s="103">
        <v>0.58630678077682696</v>
      </c>
      <c r="E10" s="103">
        <f t="shared" si="0"/>
        <v>0.36568956670058056</v>
      </c>
      <c r="F10" s="21"/>
    </row>
    <row r="11" spans="1:6" ht="14.25">
      <c r="A11" s="111">
        <v>40543</v>
      </c>
      <c r="B11" s="103">
        <v>0.2359</v>
      </c>
      <c r="C11" s="103">
        <v>-1.015338085979689E-2</v>
      </c>
      <c r="D11" s="103">
        <v>0.14267928286852571</v>
      </c>
      <c r="E11" s="103">
        <f t="shared" si="0"/>
        <v>8.4907094430659275E-2</v>
      </c>
      <c r="F11" s="21"/>
    </row>
    <row r="12" spans="1:6" ht="13.35" customHeight="1">
      <c r="A12" s="111">
        <v>40908</v>
      </c>
      <c r="B12" s="103">
        <v>0.15140000000000001</v>
      </c>
      <c r="C12" s="103">
        <v>2.204277608031413E-2</v>
      </c>
      <c r="D12" s="103">
        <v>0.27406116074671338</v>
      </c>
      <c r="E12" s="103">
        <f t="shared" si="0"/>
        <v>0.12351973626417109</v>
      </c>
      <c r="F12" s="21"/>
    </row>
    <row r="13" spans="1:6" ht="14.25">
      <c r="A13" s="111">
        <v>41274</v>
      </c>
      <c r="B13" s="103">
        <v>5.21E-2</v>
      </c>
      <c r="C13" s="103">
        <v>0.1415759128763614</v>
      </c>
      <c r="D13" s="103">
        <v>5.9293044469783451E-2</v>
      </c>
      <c r="E13" s="103">
        <f t="shared" si="0"/>
        <v>9.899586977911573E-2</v>
      </c>
      <c r="F13" s="21"/>
    </row>
    <row r="14" spans="1:6" ht="14.25">
      <c r="A14" s="111">
        <v>41639</v>
      </c>
      <c r="B14" s="103">
        <v>0.84740000000000004</v>
      </c>
      <c r="C14" s="103">
        <v>0.12607557052001495</v>
      </c>
      <c r="D14" s="103">
        <v>-1.776103336921464E-3</v>
      </c>
      <c r="E14" s="103">
        <f t="shared" si="0"/>
        <v>0.23198495425893106</v>
      </c>
      <c r="F14" s="21"/>
    </row>
    <row r="15" spans="1:6" ht="14.25">
      <c r="A15" s="112"/>
      <c r="B15" s="103"/>
      <c r="C15" s="103"/>
      <c r="D15" s="103"/>
      <c r="E15" s="94"/>
      <c r="F15" s="21"/>
    </row>
    <row r="16" spans="1:6" ht="14.25">
      <c r="A16" s="94" t="s">
        <v>44</v>
      </c>
      <c r="B16" s="113">
        <f>AVERAGE(B5:B14)</f>
        <v>0.20149</v>
      </c>
      <c r="C16" s="113">
        <f>AVERAGE(C5:C14)</f>
        <v>8.4007787606960843E-2</v>
      </c>
      <c r="D16" s="113">
        <f>AVERAGE(D5:D14)</f>
        <v>0.10924097387117886</v>
      </c>
      <c r="E16" s="114" t="e">
        <f ca="1">getformula(D16)</f>
        <v>#NAME?</v>
      </c>
      <c r="F16" s="89"/>
    </row>
    <row r="17" spans="1:7" ht="14.25">
      <c r="A17" s="94" t="s">
        <v>27</v>
      </c>
      <c r="B17" s="95">
        <f>_xlfn.VAR.S(B5:B14)</f>
        <v>0.11460553877777777</v>
      </c>
      <c r="C17" s="95">
        <f t="shared" ref="C17:D17" si="1">_xlfn.VAR.S(C5:C14)</f>
        <v>1.4423662456976426E-2</v>
      </c>
      <c r="D17" s="95">
        <f t="shared" si="1"/>
        <v>5.0262767340970294E-2</v>
      </c>
      <c r="E17" s="99" t="e">
        <f ca="1">getformula(D17)</f>
        <v>#NAME?</v>
      </c>
      <c r="F17" s="89"/>
    </row>
    <row r="18" spans="1:7" ht="14.25">
      <c r="A18" s="94" t="s">
        <v>45</v>
      </c>
      <c r="B18" s="103">
        <f>_xlfn.STDEV.S(B5:B14)</f>
        <v>0.33853439821940956</v>
      </c>
      <c r="C18" s="103">
        <f t="shared" ref="C18:D18" si="2">_xlfn.STDEV.S(C5:C14)</f>
        <v>0.12009855310109455</v>
      </c>
      <c r="D18" s="103">
        <f t="shared" si="2"/>
        <v>0.22419359344318984</v>
      </c>
      <c r="E18" s="115" t="e">
        <f ca="1">getformula(D18)</f>
        <v>#NAME?</v>
      </c>
      <c r="F18" s="89"/>
    </row>
    <row r="19" spans="1:7">
      <c r="A19" s="21"/>
      <c r="B19" s="21"/>
      <c r="C19" s="21"/>
      <c r="D19" s="21"/>
      <c r="E19" s="21"/>
      <c r="F19" s="21"/>
    </row>
    <row r="20" spans="1:7">
      <c r="A20" s="132" t="s">
        <v>46</v>
      </c>
      <c r="B20" s="132"/>
      <c r="C20" s="133"/>
      <c r="D20" s="133"/>
      <c r="E20" s="133"/>
      <c r="F20" s="133"/>
    </row>
    <row r="21" spans="1:7" ht="14.25">
      <c r="A21" s="94" t="s">
        <v>71</v>
      </c>
      <c r="B21" s="95">
        <f>_xlfn.COVARIANCE.S(B5:B14,C5:C14)</f>
        <v>2.1802423512750687E-2</v>
      </c>
      <c r="C21" s="94" t="e">
        <f ca="1">getformula(B21)</f>
        <v>#NAME?</v>
      </c>
      <c r="D21" s="95"/>
    </row>
    <row r="22" spans="1:7" s="87" customFormat="1" ht="14.25">
      <c r="A22" s="107" t="s">
        <v>72</v>
      </c>
      <c r="B22" s="108">
        <f>_xlfn.COVARIANCE.S(B5:B14,D5:D14)</f>
        <v>1.7886439545920303E-2</v>
      </c>
      <c r="C22" s="107" t="e">
        <f ca="1">getformula(B22)</f>
        <v>#NAME?</v>
      </c>
      <c r="D22" s="108"/>
      <c r="G22" s="86"/>
    </row>
    <row r="23" spans="1:7" ht="14.25">
      <c r="A23" s="94" t="s">
        <v>73</v>
      </c>
      <c r="B23" s="95">
        <f>_xlfn.COVARIANCE.S(D5:D14,C5:C14)</f>
        <v>1.7797526419648147E-2</v>
      </c>
      <c r="C23" s="94" t="e">
        <f ca="1">getformula(B23)</f>
        <v>#NAME?</v>
      </c>
      <c r="D23" s="95"/>
    </row>
    <row r="25" spans="1:7" ht="15">
      <c r="A25" s="135" t="s">
        <v>70</v>
      </c>
      <c r="B25" s="135"/>
      <c r="C25" s="135"/>
      <c r="D25" s="135"/>
      <c r="E25" s="135"/>
      <c r="F25" s="135"/>
    </row>
    <row r="26" spans="1:7" ht="14.25">
      <c r="A26" s="21" t="s">
        <v>44</v>
      </c>
      <c r="B26" s="27"/>
      <c r="C26" s="27"/>
      <c r="D26" s="27"/>
      <c r="E26" s="104">
        <f>$B$2*B16+$C$2*C16+$D$2*D16</f>
        <v>0.11507418596483408</v>
      </c>
      <c r="F26" s="94" t="e">
        <f ca="1">getformula(E26)</f>
        <v>#NAME?</v>
      </c>
    </row>
    <row r="27" spans="1:7" ht="14.25">
      <c r="A27" s="21"/>
      <c r="B27" s="27"/>
      <c r="C27" s="27"/>
      <c r="D27" s="27"/>
      <c r="E27" s="104">
        <f>AVERAGE(E5:E14)</f>
        <v>0.11507418596483406</v>
      </c>
      <c r="F27" s="94" t="e">
        <f ca="1">getformula(E27)</f>
        <v>#NAME?</v>
      </c>
    </row>
    <row r="28" spans="1:7" s="90" customFormat="1">
      <c r="A28" s="89"/>
      <c r="B28" s="88"/>
      <c r="C28" s="88"/>
      <c r="D28" s="88"/>
      <c r="E28" s="91"/>
      <c r="F28" s="89"/>
    </row>
    <row r="29" spans="1:7" ht="14.25">
      <c r="A29" s="21" t="s">
        <v>27</v>
      </c>
      <c r="B29" s="26"/>
      <c r="C29" s="26"/>
      <c r="D29" s="26"/>
      <c r="E29" s="105">
        <f>B2^2*B17+C2^2*C17+D2^2*D17+2*B2*C2*B21+2*B2*D2*B22+2*C2*D2*B23</f>
        <v>2.4559901599997568E-2</v>
      </c>
      <c r="F29" s="106" t="e">
        <f ca="1">getformula(E29)</f>
        <v>#NAME?</v>
      </c>
    </row>
    <row r="30" spans="1:7" s="93" customFormat="1" ht="15">
      <c r="A30" s="94"/>
      <c r="B30" s="95"/>
      <c r="C30" s="95"/>
      <c r="D30" s="95"/>
      <c r="E30" s="96">
        <f>_xlfn.VAR.S(E5:E14)</f>
        <v>2.4559901599997571E-2</v>
      </c>
      <c r="F30" s="97" t="e">
        <f ca="1">getformula(E30)</f>
        <v>#NAME?</v>
      </c>
    </row>
    <row r="31" spans="1:7" s="102" customFormat="1" ht="15">
      <c r="A31" s="98"/>
      <c r="B31" s="99"/>
      <c r="C31" s="99"/>
      <c r="D31" s="99"/>
      <c r="E31" s="100"/>
      <c r="F31" s="101"/>
    </row>
    <row r="32" spans="1:7" s="93" customFormat="1" ht="15">
      <c r="A32" s="94" t="s">
        <v>26</v>
      </c>
      <c r="B32" s="103"/>
      <c r="C32" s="103"/>
      <c r="D32" s="103"/>
      <c r="E32" s="104">
        <f>SQRT(E29)</f>
        <v>0.15671599024987071</v>
      </c>
      <c r="F32" s="94" t="e">
        <f ca="1">getformula(E32)</f>
        <v>#NAME?</v>
      </c>
    </row>
    <row r="33" spans="5:6" s="93" customFormat="1" ht="15">
      <c r="E33" s="49">
        <f>_xlfn.STDEV.S(E5:E14)</f>
        <v>0.15671599024987071</v>
      </c>
      <c r="F33" s="94" t="e">
        <f ca="1">getformula(E33)</f>
        <v>#NAME?</v>
      </c>
    </row>
    <row r="34" spans="5:6" s="93" customFormat="1" ht="15"/>
    <row r="35" spans="5:6" s="93" customFormat="1" ht="15"/>
    <row r="36" spans="5:6" s="93" customFormat="1" ht="15"/>
    <row r="37" spans="5:6" s="93" customFormat="1" ht="15"/>
    <row r="38" spans="5:6" s="93" customFormat="1" ht="15"/>
    <row r="39" spans="5:6" s="93" customFormat="1" ht="15"/>
    <row r="40" spans="5:6" s="93" customFormat="1" ht="15"/>
    <row r="41" spans="5:6" s="93" customFormat="1" ht="15"/>
    <row r="42" spans="5:6" s="93" customFormat="1" ht="15"/>
    <row r="43" spans="5:6" s="93" customFormat="1" ht="15"/>
    <row r="44" spans="5:6" s="93" customFormat="1" ht="15"/>
    <row r="45" spans="5:6" s="93" customFormat="1" ht="15"/>
    <row r="46" spans="5:6" s="93" customFormat="1" ht="15"/>
    <row r="47" spans="5:6" s="93" customFormat="1" ht="15"/>
    <row r="48" spans="5:6" s="93" customFormat="1" ht="15"/>
    <row r="49" s="93" customFormat="1" ht="15"/>
    <row r="50" s="93" customFormat="1" ht="15"/>
    <row r="51" s="93" customFormat="1" ht="15"/>
    <row r="52" s="93" customFormat="1" ht="15"/>
    <row r="53" s="93" customFormat="1" ht="15"/>
    <row r="54" s="93" customFormat="1" ht="15"/>
    <row r="55" s="93" customFormat="1" ht="15"/>
    <row r="56" s="93" customFormat="1" ht="15"/>
    <row r="57" s="93" customFormat="1" ht="15"/>
    <row r="58" s="93" customFormat="1" ht="15"/>
    <row r="59" s="93" customFormat="1" ht="15"/>
    <row r="60" s="93" customFormat="1" ht="15"/>
    <row r="61" s="93" customFormat="1" ht="15"/>
    <row r="62" s="93" customFormat="1" ht="15"/>
  </sheetData>
  <mergeCells count="5">
    <mergeCell ref="A1:F1"/>
    <mergeCell ref="A20:B20"/>
    <mergeCell ref="C20:D20"/>
    <mergeCell ref="E20:F20"/>
    <mergeCell ref="A25:F25"/>
  </mergeCells>
  <printOptions headings="1" gridLines="1"/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Index</vt:lpstr>
      <vt:lpstr>Page 246</vt:lpstr>
      <vt:lpstr>Page 250</vt:lpstr>
      <vt:lpstr>Page 251</vt:lpstr>
      <vt:lpstr>Page 252</vt:lpstr>
      <vt:lpstr>Page 254</vt:lpstr>
      <vt:lpstr>Page 255</vt:lpstr>
      <vt:lpstr>Page 256</vt:lpstr>
      <vt:lpstr>Page 258</vt:lpstr>
      <vt:lpstr>Page 260+262</vt:lpstr>
      <vt:lpstr>Page 263</vt:lpstr>
      <vt:lpstr>Page 264</vt:lpstr>
    </vt:vector>
  </TitlesOfParts>
  <Company>The Wharton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2006-01-08T17:57:28Z</dcterms:created>
  <dcterms:modified xsi:type="dcterms:W3CDTF">2017-08-02T15:22:38Z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Chapter08 - Portfolio statistics (1).xlsm</vt:lpwstr>
  </property>
</Properties>
</file>