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drawings/drawing5.xml" ContentType="application/vnd.openxmlformats-officedocument.drawing+xml"/>
  <Override PartName="/xl/charts/chart2.xml" ContentType="application/vnd.openxmlformats-officedocument.drawingml.chart+xml"/>
  <Override PartName="/xl/drawings/drawing6.xml" ContentType="application/vnd.openxmlformats-officedocument.drawing+xml"/>
  <Override PartName="/xl/charts/chart3.xml" ContentType="application/vnd.openxmlformats-officedocument.drawingml.chart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21656B06-1B9B-AA78-C99D-37B55691406E}"/>
  <workbookPr codeName="ThisWorkbook"/>
  <bookViews>
    <workbookView xWindow="240" yWindow="120" windowWidth="14220" windowHeight="8835"/>
  </bookViews>
  <sheets>
    <sheet name="Index" sheetId="35" r:id="rId1"/>
    <sheet name="Page 138" sheetId="29" r:id="rId2"/>
    <sheet name="Page 140" sheetId="31" r:id="rId3"/>
    <sheet name="Page 141" sheetId="28" r:id="rId4"/>
    <sheet name="Page 142" sheetId="33" r:id="rId5"/>
    <sheet name="Page 144" sheetId="17" r:id="rId6"/>
    <sheet name="Page 145+146" sheetId="18" r:id="rId7"/>
    <sheet name="Page 147" sheetId="32" r:id="rId8"/>
    <sheet name="Page 149" sheetId="4" r:id="rId9"/>
    <sheet name="Page 150" sheetId="5" r:id="rId10"/>
    <sheet name="Page 152" sheetId="1" r:id="rId11"/>
    <sheet name="Page 153" sheetId="26" r:id="rId12"/>
    <sheet name="Page 153 bottom + page 154" sheetId="12" r:id="rId13"/>
    <sheet name="Page 155" sheetId="15" r:id="rId14"/>
    <sheet name="Page 158" sheetId="36" r:id="rId15"/>
    <sheet name="Page 160" sheetId="38" r:id="rId16"/>
    <sheet name="Page 161" sheetId="3" r:id="rId17"/>
    <sheet name="Page 164" sheetId="20" r:id="rId18"/>
    <sheet name="Page 165" sheetId="21" r:id="rId19"/>
    <sheet name="Pages 165+166, drawings" sheetId="22" r:id="rId20"/>
    <sheet name="Page 166" sheetId="23" r:id="rId21"/>
    <sheet name="Page 167" sheetId="2" r:id="rId22"/>
    <sheet name="Page 168" sheetId="34" r:id="rId23"/>
  </sheets>
  <definedNames>
    <definedName name="solver_adj" localSheetId="10" hidden="1">'Page 152'!$B$11</definedName>
    <definedName name="solver_adj" localSheetId="14" hidden="1">'Page 158'!$A$58</definedName>
    <definedName name="solver_adj" localSheetId="15" hidden="1">'Page 160'!$B$6</definedName>
    <definedName name="solver_cvg" localSheetId="10" hidden="1">0.0001</definedName>
    <definedName name="solver_cvg" localSheetId="14" hidden="1">0.0001</definedName>
    <definedName name="solver_cvg" localSheetId="15" hidden="1">0.0001</definedName>
    <definedName name="solver_drv" localSheetId="10" hidden="1">1</definedName>
    <definedName name="solver_drv" localSheetId="14" hidden="1">1</definedName>
    <definedName name="solver_drv" localSheetId="15" hidden="1">1</definedName>
    <definedName name="solver_eng" localSheetId="14" hidden="1">1</definedName>
    <definedName name="solver_eng" localSheetId="15" hidden="1">1</definedName>
    <definedName name="solver_est" localSheetId="10" hidden="1">1</definedName>
    <definedName name="solver_est" localSheetId="14" hidden="1">1</definedName>
    <definedName name="solver_est" localSheetId="15" hidden="1">1</definedName>
    <definedName name="solver_itr" localSheetId="10" hidden="1">100</definedName>
    <definedName name="solver_itr" localSheetId="14" hidden="1">2147483647</definedName>
    <definedName name="solver_itr" localSheetId="15" hidden="1">2147483647</definedName>
    <definedName name="solver_lin" localSheetId="10" hidden="1">2</definedName>
    <definedName name="solver_mip" localSheetId="14" hidden="1">2147483647</definedName>
    <definedName name="solver_mip" localSheetId="15" hidden="1">2147483647</definedName>
    <definedName name="solver_mni" localSheetId="14" hidden="1">30</definedName>
    <definedName name="solver_mni" localSheetId="15" hidden="1">30</definedName>
    <definedName name="solver_mrt" localSheetId="14" hidden="1">0.075</definedName>
    <definedName name="solver_mrt" localSheetId="15" hidden="1">0.075</definedName>
    <definedName name="solver_msl" localSheetId="14" hidden="1">2</definedName>
    <definedName name="solver_msl" localSheetId="15" hidden="1">2</definedName>
    <definedName name="solver_neg" localSheetId="10" hidden="1">2</definedName>
    <definedName name="solver_neg" localSheetId="14" hidden="1">1</definedName>
    <definedName name="solver_neg" localSheetId="15" hidden="1">1</definedName>
    <definedName name="solver_nod" localSheetId="14" hidden="1">2147483647</definedName>
    <definedName name="solver_nod" localSheetId="15" hidden="1">2147483647</definedName>
    <definedName name="solver_num" localSheetId="10" hidden="1">0</definedName>
    <definedName name="solver_num" localSheetId="14" hidden="1">0</definedName>
    <definedName name="solver_num" localSheetId="15" hidden="1">0</definedName>
    <definedName name="solver_nwt" localSheetId="10" hidden="1">1</definedName>
    <definedName name="solver_nwt" localSheetId="14" hidden="1">1</definedName>
    <definedName name="solver_nwt" localSheetId="15" hidden="1">1</definedName>
    <definedName name="solver_opt" localSheetId="10" hidden="1">'Page 152'!#REF!</definedName>
    <definedName name="solver_opt" localSheetId="14" hidden="1">'Page 158'!$B$58</definedName>
    <definedName name="solver_opt" localSheetId="15" hidden="1">'Page 160'!$B$11</definedName>
    <definedName name="solver_pre" localSheetId="10" hidden="1">0.000001</definedName>
    <definedName name="solver_pre" localSheetId="14" hidden="1">0.000001</definedName>
    <definedName name="solver_pre" localSheetId="15" hidden="1">0.000001</definedName>
    <definedName name="solver_rbv" localSheetId="14" hidden="1">1</definedName>
    <definedName name="solver_rbv" localSheetId="15" hidden="1">1</definedName>
    <definedName name="solver_rlx" localSheetId="14" hidden="1">2</definedName>
    <definedName name="solver_rlx" localSheetId="15" hidden="1">2</definedName>
    <definedName name="solver_rsd" localSheetId="14" hidden="1">0</definedName>
    <definedName name="solver_rsd" localSheetId="15" hidden="1">0</definedName>
    <definedName name="solver_scl" localSheetId="10" hidden="1">2</definedName>
    <definedName name="solver_scl" localSheetId="14" hidden="1">1</definedName>
    <definedName name="solver_scl" localSheetId="15" hidden="1">1</definedName>
    <definedName name="solver_sho" localSheetId="10" hidden="1">2</definedName>
    <definedName name="solver_sho" localSheetId="14" hidden="1">2</definedName>
    <definedName name="solver_sho" localSheetId="15" hidden="1">2</definedName>
    <definedName name="solver_ssz" localSheetId="14" hidden="1">100</definedName>
    <definedName name="solver_ssz" localSheetId="15" hidden="1">100</definedName>
    <definedName name="solver_tim" localSheetId="10" hidden="1">100</definedName>
    <definedName name="solver_tim" localSheetId="14" hidden="1">2147483647</definedName>
    <definedName name="solver_tim" localSheetId="15" hidden="1">2147483647</definedName>
    <definedName name="solver_tol" localSheetId="10" hidden="1">0.05</definedName>
    <definedName name="solver_tol" localSheetId="14" hidden="1">0.01</definedName>
    <definedName name="solver_tol" localSheetId="15" hidden="1">0.01</definedName>
    <definedName name="solver_typ" localSheetId="10" hidden="1">3</definedName>
    <definedName name="solver_typ" localSheetId="14" hidden="1">3</definedName>
    <definedName name="solver_typ" localSheetId="15" hidden="1">3</definedName>
    <definedName name="solver_val" localSheetId="10" hidden="1">0</definedName>
    <definedName name="solver_val" localSheetId="14" hidden="1">0.06</definedName>
    <definedName name="solver_val" localSheetId="15" hidden="1">0.06</definedName>
    <definedName name="solver_ver" localSheetId="14" hidden="1">3</definedName>
    <definedName name="solver_ver" localSheetId="15" hidden="1">3</definedName>
  </definedNames>
  <calcPr calcId="144525" iterate="1"/>
</workbook>
</file>

<file path=xl/calcChain.xml><?xml version="1.0" encoding="utf-8"?>
<calcChain xmlns="http://schemas.openxmlformats.org/spreadsheetml/2006/main">
  <c r="C40" i="38" l="1"/>
  <c r="B39" i="38"/>
  <c r="D39" i="38" s="1"/>
  <c r="B38" i="38"/>
  <c r="D38" i="38" s="1"/>
  <c r="B37" i="38"/>
  <c r="D37" i="38" s="1"/>
  <c r="B36" i="38"/>
  <c r="D36" i="38" s="1"/>
  <c r="B35" i="38"/>
  <c r="D35" i="38" s="1"/>
  <c r="B34" i="38"/>
  <c r="D34" i="38" s="1"/>
  <c r="B33" i="38"/>
  <c r="D33" i="38" s="1"/>
  <c r="B32" i="38"/>
  <c r="D32" i="38" s="1"/>
  <c r="B31" i="38"/>
  <c r="D31" i="38" s="1"/>
  <c r="B30" i="38"/>
  <c r="D30" i="38" s="1"/>
  <c r="B29" i="38"/>
  <c r="D29" i="38" s="1"/>
  <c r="B28" i="38"/>
  <c r="D28" i="38" s="1"/>
  <c r="B27" i="38"/>
  <c r="D27" i="38" s="1"/>
  <c r="B26" i="38"/>
  <c r="D26" i="38" s="1"/>
  <c r="B25" i="38"/>
  <c r="D25" i="38" s="1"/>
  <c r="B24" i="38"/>
  <c r="D24" i="38" s="1"/>
  <c r="B23" i="38"/>
  <c r="D23" i="38" s="1"/>
  <c r="B22" i="38"/>
  <c r="D22" i="38" s="1"/>
  <c r="B21" i="38"/>
  <c r="D21" i="38" s="1"/>
  <c r="B20" i="38"/>
  <c r="D20" i="38" s="1"/>
  <c r="B19" i="38"/>
  <c r="D19" i="38" s="1"/>
  <c r="B18" i="38"/>
  <c r="D18" i="38" s="1"/>
  <c r="B17" i="38"/>
  <c r="D17" i="38" s="1"/>
  <c r="B16" i="38"/>
  <c r="E16" i="38"/>
  <c r="C16" i="38" l="1"/>
  <c r="D16" i="38" s="1"/>
  <c r="C13" i="38"/>
  <c r="C11" i="38"/>
  <c r="C10" i="38"/>
  <c r="C7" i="38"/>
  <c r="B7" i="38"/>
  <c r="B40" i="38" s="1"/>
  <c r="D40" i="38" s="1"/>
  <c r="B10" i="38" s="1"/>
  <c r="B11" i="38" s="1"/>
  <c r="C40" i="36"/>
  <c r="B39" i="36"/>
  <c r="D39" i="36" s="1"/>
  <c r="B38" i="36"/>
  <c r="D38" i="36" s="1"/>
  <c r="B37" i="36"/>
  <c r="D37" i="36" s="1"/>
  <c r="B36" i="36"/>
  <c r="D36" i="36" s="1"/>
  <c r="B35" i="36"/>
  <c r="D35" i="36" s="1"/>
  <c r="B34" i="36"/>
  <c r="D34" i="36" s="1"/>
  <c r="B33" i="36"/>
  <c r="D33" i="36" s="1"/>
  <c r="B32" i="36"/>
  <c r="D32" i="36" s="1"/>
  <c r="B31" i="36"/>
  <c r="D31" i="36" s="1"/>
  <c r="B30" i="36"/>
  <c r="D30" i="36" s="1"/>
  <c r="B29" i="36"/>
  <c r="D29" i="36" s="1"/>
  <c r="B28" i="36"/>
  <c r="D28" i="36" s="1"/>
  <c r="B27" i="36"/>
  <c r="D27" i="36" s="1"/>
  <c r="B26" i="36"/>
  <c r="D26" i="36" s="1"/>
  <c r="B25" i="36"/>
  <c r="D25" i="36" s="1"/>
  <c r="B24" i="36"/>
  <c r="D24" i="36" s="1"/>
  <c r="B23" i="36"/>
  <c r="D23" i="36" s="1"/>
  <c r="B22" i="36"/>
  <c r="D22" i="36" s="1"/>
  <c r="B21" i="36"/>
  <c r="D21" i="36" s="1"/>
  <c r="B20" i="36"/>
  <c r="D20" i="36" s="1"/>
  <c r="B19" i="36"/>
  <c r="D19" i="36" s="1"/>
  <c r="B18" i="36"/>
  <c r="D18" i="36" s="1"/>
  <c r="B17" i="36"/>
  <c r="D17" i="36" s="1"/>
  <c r="B16" i="36"/>
  <c r="E16" i="36"/>
  <c r="B46" i="38" l="1"/>
  <c r="B13" i="38"/>
  <c r="C46" i="38" s="1"/>
  <c r="C16" i="36"/>
  <c r="D16" i="36" s="1"/>
  <c r="C13" i="36"/>
  <c r="C11" i="36"/>
  <c r="C10" i="36"/>
  <c r="C7" i="36"/>
  <c r="B7" i="36"/>
  <c r="B40" i="36" s="1"/>
  <c r="D40" i="36" s="1"/>
  <c r="B10" i="36" s="1"/>
  <c r="B11" i="36" s="1"/>
  <c r="B46" i="36" l="1"/>
  <c r="B13" i="36"/>
  <c r="C46" i="36" s="1"/>
  <c r="B22" i="35"/>
  <c r="B3" i="35"/>
  <c r="B14" i="35"/>
  <c r="B9" i="35"/>
  <c r="B8" i="35"/>
  <c r="B18" i="35"/>
  <c r="B10" i="35"/>
  <c r="B6" i="35"/>
  <c r="B17" i="35"/>
  <c r="B11" i="35"/>
  <c r="B23" i="35"/>
  <c r="B15" i="35"/>
  <c r="B16" i="35"/>
  <c r="B24" i="35"/>
  <c r="B20" i="35"/>
  <c r="B12" i="35"/>
  <c r="B7" i="35"/>
  <c r="B4" i="35"/>
  <c r="B19" i="35"/>
  <c r="B21" i="35"/>
  <c r="B13" i="35"/>
  <c r="B5" i="35"/>
  <c r="E3" i="2" l="1"/>
  <c r="D13" i="32" l="1"/>
  <c r="D14" i="32"/>
  <c r="D15" i="32"/>
  <c r="D16" i="32"/>
  <c r="D17" i="32"/>
  <c r="D18" i="32"/>
  <c r="D19" i="32"/>
  <c r="D20" i="32"/>
  <c r="D12" i="32"/>
  <c r="D11" i="32"/>
  <c r="B11" i="32"/>
  <c r="F11" i="32"/>
  <c r="B5" i="17" l="1"/>
  <c r="B7" i="34" l="1"/>
  <c r="B11" i="34" s="1"/>
  <c r="B6" i="34"/>
  <c r="B10" i="34" s="1"/>
  <c r="C7" i="32"/>
  <c r="B14" i="31"/>
  <c r="E17" i="31"/>
  <c r="E8" i="12"/>
  <c r="C5" i="2"/>
  <c r="C36" i="18"/>
  <c r="C12" i="1"/>
  <c r="C10" i="18"/>
  <c r="G10" i="31"/>
  <c r="E3" i="33"/>
  <c r="C13" i="1"/>
  <c r="D14" i="15"/>
  <c r="C19" i="3"/>
  <c r="C12" i="23"/>
  <c r="C7" i="21"/>
  <c r="C21" i="4"/>
  <c r="C20" i="3"/>
  <c r="D6" i="20"/>
  <c r="F25" i="18"/>
  <c r="C7" i="34"/>
  <c r="D16" i="31"/>
  <c r="E20" i="12"/>
  <c r="E6" i="33"/>
  <c r="B22" i="32"/>
  <c r="C9" i="17"/>
  <c r="C11" i="23"/>
  <c r="C9" i="1"/>
  <c r="C5" i="17"/>
  <c r="C21" i="18"/>
  <c r="C20" i="17"/>
  <c r="C9" i="5"/>
  <c r="C6" i="32"/>
  <c r="E13" i="12"/>
  <c r="F9" i="31"/>
  <c r="D18" i="15"/>
  <c r="E4" i="33"/>
  <c r="D5" i="28"/>
  <c r="E12" i="12"/>
  <c r="D20" i="20"/>
  <c r="C9" i="18"/>
  <c r="C6" i="18"/>
  <c r="E8" i="31"/>
  <c r="E9" i="12"/>
  <c r="G19" i="31"/>
  <c r="C6" i="2"/>
  <c r="D24" i="15"/>
  <c r="D12" i="26"/>
  <c r="D19" i="15"/>
  <c r="C8" i="21"/>
  <c r="C5" i="23"/>
  <c r="C24" i="5"/>
  <c r="C12" i="33"/>
  <c r="C10" i="5"/>
  <c r="C23" i="5"/>
  <c r="C11" i="34"/>
  <c r="C10" i="34"/>
  <c r="H11" i="31"/>
  <c r="C6" i="34"/>
  <c r="A36" i="18"/>
  <c r="D5" i="29"/>
  <c r="C8" i="4"/>
  <c r="C3" i="2"/>
  <c r="E7" i="12"/>
  <c r="C6" i="31"/>
  <c r="C8" i="1"/>
  <c r="C26" i="5"/>
  <c r="C6" i="23"/>
  <c r="D13" i="15"/>
  <c r="D7" i="31"/>
  <c r="D6" i="28"/>
  <c r="E10" i="12"/>
  <c r="D9" i="28"/>
  <c r="D23" i="15"/>
  <c r="D9" i="29"/>
  <c r="C22" i="4"/>
  <c r="D7" i="20"/>
  <c r="D10" i="28"/>
  <c r="D10" i="29"/>
  <c r="D5" i="20"/>
  <c r="C13" i="26"/>
  <c r="F18" i="31"/>
  <c r="C15" i="31"/>
  <c r="B8" i="21" l="1"/>
  <c r="B7" i="21"/>
  <c r="B6" i="21"/>
  <c r="B12" i="33"/>
  <c r="D4" i="33"/>
  <c r="D3" i="33"/>
  <c r="D6" i="33" s="1"/>
  <c r="B12" i="17"/>
  <c r="B6" i="31"/>
  <c r="C7" i="31"/>
  <c r="D8" i="31" s="1"/>
  <c r="E9" i="31" s="1"/>
  <c r="F10" i="31" s="1"/>
  <c r="G11" i="31" s="1"/>
  <c r="A14" i="31" s="1"/>
  <c r="B15" i="31" s="1"/>
  <c r="C16" i="31" s="1"/>
  <c r="D17" i="31" s="1"/>
  <c r="E18" i="31" s="1"/>
  <c r="F19" i="31" s="1"/>
  <c r="C9" i="28"/>
  <c r="C10" i="28"/>
  <c r="C5" i="28"/>
  <c r="C6" i="28" s="1"/>
  <c r="B5" i="28"/>
  <c r="B6" i="28" s="1"/>
  <c r="C5" i="29"/>
  <c r="C9" i="29" s="1"/>
  <c r="B5" i="29"/>
  <c r="B8" i="29" s="1"/>
  <c r="B10" i="29" s="1"/>
  <c r="B7" i="12"/>
  <c r="C7" i="12"/>
  <c r="D7" i="12" s="1"/>
  <c r="B19" i="12" s="1"/>
  <c r="C20" i="20"/>
  <c r="B7" i="26"/>
  <c r="B12" i="26" s="1"/>
  <c r="C7" i="26"/>
  <c r="C8" i="26" s="1"/>
  <c r="C9" i="26" s="1"/>
  <c r="B8" i="20"/>
  <c r="C8" i="20" s="1"/>
  <c r="B9" i="20"/>
  <c r="C9" i="20"/>
  <c r="B10" i="20"/>
  <c r="C10" i="20" s="1"/>
  <c r="B11" i="20"/>
  <c r="C11" i="20"/>
  <c r="B12" i="20"/>
  <c r="C12" i="20" s="1"/>
  <c r="B13" i="20"/>
  <c r="C13" i="20"/>
  <c r="B14" i="20"/>
  <c r="C14" i="20" s="1"/>
  <c r="B15" i="20"/>
  <c r="C15" i="20" s="1"/>
  <c r="B16" i="20"/>
  <c r="C16" i="20" s="1"/>
  <c r="B17" i="20"/>
  <c r="C17" i="20"/>
  <c r="B18" i="20"/>
  <c r="C18" i="20" s="1"/>
  <c r="B19" i="20"/>
  <c r="C19" i="20"/>
  <c r="B6" i="20"/>
  <c r="C6" i="20" s="1"/>
  <c r="B7" i="20"/>
  <c r="C7" i="20"/>
  <c r="B5" i="20"/>
  <c r="C5" i="20" s="1"/>
  <c r="B12" i="23"/>
  <c r="B11" i="23"/>
  <c r="B6" i="23"/>
  <c r="B5" i="23"/>
  <c r="B3" i="3"/>
  <c r="B20" i="3" s="1"/>
  <c r="B6" i="2"/>
  <c r="B3" i="2"/>
  <c r="B5" i="2" s="1"/>
  <c r="B8" i="15"/>
  <c r="C8" i="15"/>
  <c r="C9" i="15"/>
  <c r="C19" i="15" s="1"/>
  <c r="C10" i="15"/>
  <c r="C20" i="15" s="1"/>
  <c r="B11" i="15"/>
  <c r="B13" i="15" s="1"/>
  <c r="B26" i="5"/>
  <c r="B9" i="5"/>
  <c r="B10" i="5"/>
  <c r="B11" i="5"/>
  <c r="B12" i="5"/>
  <c r="B13" i="5"/>
  <c r="B14" i="5"/>
  <c r="B15" i="5"/>
  <c r="B16" i="5"/>
  <c r="B17" i="5"/>
  <c r="B18" i="5"/>
  <c r="B19" i="5"/>
  <c r="B20" i="5"/>
  <c r="B21" i="5"/>
  <c r="B7" i="4"/>
  <c r="B8" i="4"/>
  <c r="B9" i="4"/>
  <c r="B10" i="4"/>
  <c r="B11" i="4"/>
  <c r="B12" i="4"/>
  <c r="B13" i="4"/>
  <c r="B14" i="4"/>
  <c r="B15" i="4"/>
  <c r="B16" i="4"/>
  <c r="B17" i="4"/>
  <c r="B18" i="4"/>
  <c r="B19" i="4"/>
  <c r="B9" i="18"/>
  <c r="B25" i="18" s="1"/>
  <c r="B6" i="18"/>
  <c r="B10" i="18" s="1"/>
  <c r="B11" i="18"/>
  <c r="B13" i="18"/>
  <c r="B19" i="18"/>
  <c r="C26" i="18"/>
  <c r="C32" i="18"/>
  <c r="C34" i="18"/>
  <c r="B9" i="1"/>
  <c r="B8" i="1"/>
  <c r="B8" i="17"/>
  <c r="C3" i="3"/>
  <c r="C30" i="18" l="1"/>
  <c r="B17" i="18"/>
  <c r="B23" i="5"/>
  <c r="B24" i="5" s="1"/>
  <c r="B12" i="1"/>
  <c r="B13" i="1" s="1"/>
  <c r="C28" i="18"/>
  <c r="B15" i="18"/>
  <c r="C6" i="3"/>
  <c r="D6" i="3" s="1"/>
  <c r="B7" i="3" s="1"/>
  <c r="C7" i="3" s="1"/>
  <c r="B21" i="4"/>
  <c r="B22" i="4" s="1"/>
  <c r="B18" i="17"/>
  <c r="B14" i="17"/>
  <c r="B10" i="17"/>
  <c r="B15" i="17"/>
  <c r="B11" i="17"/>
  <c r="B17" i="17"/>
  <c r="B13" i="17"/>
  <c r="B9" i="17"/>
  <c r="C18" i="15"/>
  <c r="B16" i="17"/>
  <c r="C8" i="12"/>
  <c r="C8" i="29"/>
  <c r="C10" i="29" s="1"/>
  <c r="D7" i="3"/>
  <c r="B8" i="3" s="1"/>
  <c r="C10" i="26"/>
  <c r="C12" i="26" s="1"/>
  <c r="B13" i="26" s="1"/>
  <c r="D19" i="12"/>
  <c r="C33" i="18"/>
  <c r="C31" i="18"/>
  <c r="C29" i="18"/>
  <c r="C27" i="18"/>
  <c r="C25" i="18"/>
  <c r="B18" i="18"/>
  <c r="B16" i="18"/>
  <c r="B14" i="18"/>
  <c r="B21" i="18" s="1"/>
  <c r="E3" i="32" s="1"/>
  <c r="B12" i="18"/>
  <c r="C11" i="15"/>
  <c r="C21" i="15" s="1"/>
  <c r="C23" i="15" s="1"/>
  <c r="C24" i="15" s="1"/>
  <c r="C13" i="15" l="1"/>
  <c r="C14" i="15" s="1"/>
  <c r="B20" i="17"/>
  <c r="D8" i="12"/>
  <c r="B20" i="12" s="1"/>
  <c r="C9" i="12"/>
  <c r="C8" i="3"/>
  <c r="D8" i="3" s="1"/>
  <c r="B9" i="3" s="1"/>
  <c r="D22" i="12"/>
  <c r="D20" i="12"/>
  <c r="D21" i="12"/>
  <c r="B6" i="32"/>
  <c r="D25" i="18"/>
  <c r="E25" i="18" s="1"/>
  <c r="B26" i="18" s="1"/>
  <c r="D9" i="12" l="1"/>
  <c r="C10" i="12"/>
  <c r="D10" i="12" s="1"/>
  <c r="B22" i="12" s="1"/>
  <c r="C9" i="3"/>
  <c r="D9" i="3" s="1"/>
  <c r="B10" i="3" s="1"/>
  <c r="B7" i="32"/>
  <c r="E11" i="32"/>
  <c r="B12" i="32" s="1"/>
  <c r="E12" i="32"/>
  <c r="E13" i="32"/>
  <c r="E14" i="32"/>
  <c r="E15" i="32"/>
  <c r="E16" i="32"/>
  <c r="E17" i="32"/>
  <c r="E18" i="32"/>
  <c r="E19" i="32"/>
  <c r="E20" i="32"/>
  <c r="D26" i="18"/>
  <c r="E26" i="18" s="1"/>
  <c r="B27" i="18" s="1"/>
  <c r="B21" i="12" l="1"/>
  <c r="D12" i="12"/>
  <c r="D13" i="12" s="1"/>
  <c r="C10" i="3"/>
  <c r="D10" i="3" s="1"/>
  <c r="B11" i="3" s="1"/>
  <c r="C20" i="32"/>
  <c r="C16" i="32"/>
  <c r="C12" i="32"/>
  <c r="C19" i="32"/>
  <c r="C15" i="32"/>
  <c r="C13" i="32"/>
  <c r="C18" i="32"/>
  <c r="C14" i="32"/>
  <c r="C11" i="32"/>
  <c r="C17" i="32"/>
  <c r="B13" i="32"/>
  <c r="B14" i="32" s="1"/>
  <c r="B15" i="32" s="1"/>
  <c r="B16" i="32" s="1"/>
  <c r="B17" i="32" s="1"/>
  <c r="B18" i="32" s="1"/>
  <c r="B19" i="32" s="1"/>
  <c r="B20" i="32" s="1"/>
  <c r="D27" i="18"/>
  <c r="E27" i="18" s="1"/>
  <c r="B28" i="18" s="1"/>
  <c r="C11" i="3" l="1"/>
  <c r="D11" i="3" s="1"/>
  <c r="B12" i="3" s="1"/>
  <c r="D28" i="18"/>
  <c r="E28" i="18" s="1"/>
  <c r="B29" i="18" s="1"/>
  <c r="C12" i="3" l="1"/>
  <c r="D12" i="3" s="1"/>
  <c r="B13" i="3" s="1"/>
  <c r="D29" i="18"/>
  <c r="E29" i="18" s="1"/>
  <c r="B30" i="18" s="1"/>
  <c r="C13" i="3" l="1"/>
  <c r="D13" i="3" s="1"/>
  <c r="B14" i="3" s="1"/>
  <c r="D30" i="18"/>
  <c r="E30" i="18" s="1"/>
  <c r="B31" i="18" s="1"/>
  <c r="C14" i="3" l="1"/>
  <c r="D14" i="3" s="1"/>
  <c r="B15" i="3" s="1"/>
  <c r="D31" i="18"/>
  <c r="E31" i="18" s="1"/>
  <c r="B32" i="18" s="1"/>
  <c r="C15" i="3" l="1"/>
  <c r="D15" i="3" s="1"/>
  <c r="B16" i="3" s="1"/>
  <c r="D32" i="18"/>
  <c r="E32" i="18" s="1"/>
  <c r="B33" i="18" s="1"/>
  <c r="C16" i="3" l="1"/>
  <c r="D16" i="3" s="1"/>
  <c r="B17" i="3" s="1"/>
  <c r="D33" i="18"/>
  <c r="E33" i="18" s="1"/>
  <c r="B34" i="18" s="1"/>
  <c r="D34" i="18" s="1"/>
  <c r="E34" i="18" s="1"/>
  <c r="C17" i="3" l="1"/>
  <c r="D17" i="3" s="1"/>
  <c r="B19" i="3" s="1"/>
</calcChain>
</file>

<file path=xl/sharedStrings.xml><?xml version="1.0" encoding="utf-8"?>
<sst xmlns="http://schemas.openxmlformats.org/spreadsheetml/2006/main" count="286" uniqueCount="195">
  <si>
    <t>Loan principal</t>
  </si>
  <si>
    <t>Loan term (years)</t>
  </si>
  <si>
    <t>Quoted interest rate</t>
  </si>
  <si>
    <t>Month</t>
  </si>
  <si>
    <t>Cash flow</t>
  </si>
  <si>
    <t>APR</t>
  </si>
  <si>
    <t>Daily</t>
  </si>
  <si>
    <t>"Annual" rate</t>
  </si>
  <si>
    <t>Monthly rate</t>
  </si>
  <si>
    <t>Interest for
month</t>
  </si>
  <si>
    <t>Balance at
end of 
month</t>
  </si>
  <si>
    <t>EAIR</t>
  </si>
  <si>
    <t>Discount points</t>
  </si>
  <si>
    <t>Origination fee</t>
  </si>
  <si>
    <t>MORTGAGE EXAMPLE WITH POINTS AND ORIGINATION FEE</t>
  </si>
  <si>
    <t>Monthly repayment</t>
  </si>
  <si>
    <t>Calculating the EAIR</t>
  </si>
  <si>
    <t>Initial amount of loan, net of fees</t>
  </si>
  <si>
    <t>Mortgage principal</t>
  </si>
  <si>
    <t>Interest rate</t>
  </si>
  <si>
    <t>Year</t>
  </si>
  <si>
    <t>BASIC LEASE VERSUS PURCHASE</t>
  </si>
  <si>
    <t>Asset cost</t>
  </si>
  <si>
    <t>Lease or purchase?</t>
  </si>
  <si>
    <t>PV of costs</t>
  </si>
  <si>
    <t>IRR of differential</t>
  </si>
  <si>
    <t>Calculating the IRR of the differential cash flow</t>
  </si>
  <si>
    <t>Money saved
by leasing</t>
  </si>
  <si>
    <t>Annual lease payment</t>
  </si>
  <si>
    <t>Same
amount from
bank</t>
  </si>
  <si>
    <t>Bank rate</t>
  </si>
  <si>
    <t>Continuously compounded interest</t>
  </si>
  <si>
    <t>LEASE VERSUS PURCHASE WITH RESIDUAL VALUE</t>
  </si>
  <si>
    <t>Residual value, yr. 3</t>
  </si>
  <si>
    <t>&lt;-- Value of computer at end year 3</t>
  </si>
  <si>
    <t>Annual payment</t>
  </si>
  <si>
    <t>Payment
at end of
year</t>
  </si>
  <si>
    <t>"Points"</t>
  </si>
  <si>
    <t>Quoted interest</t>
  </si>
  <si>
    <t>Mortgage
cash flow</t>
  </si>
  <si>
    <t>A SIMPLE MORTGAGE</t>
  </si>
  <si>
    <t>A MORTGAGE WITH POINTS</t>
  </si>
  <si>
    <t>MORTGAGE AMORTIZATION TABLE</t>
  </si>
  <si>
    <t>Mortgage
principal at
beginning of
year</t>
  </si>
  <si>
    <t>Monthly interest rate</t>
  </si>
  <si>
    <t>EAIR AND NUMBER OF COMPOUNDING PERIODS</t>
  </si>
  <si>
    <t>Number of compounding
periods per year</t>
  </si>
  <si>
    <t>Rate per
period</t>
  </si>
  <si>
    <t>Number of compounding periods
per year</t>
  </si>
  <si>
    <t>CONTINUOUS COMPOUNDING</t>
  </si>
  <si>
    <t>X</t>
  </si>
  <si>
    <r>
      <t>X*(1+r)</t>
    </r>
    <r>
      <rPr>
        <vertAlign val="superscript"/>
        <sz val="10"/>
        <rFont val="Arial"/>
        <family val="2"/>
      </rPr>
      <t>T</t>
    </r>
  </si>
  <si>
    <t>Y</t>
  </si>
  <si>
    <t>Future value</t>
  </si>
  <si>
    <t>Present value</t>
  </si>
  <si>
    <t>DISCRETE COMPOUNDING</t>
  </si>
  <si>
    <r>
      <t>X*e</t>
    </r>
    <r>
      <rPr>
        <vertAlign val="superscript"/>
        <sz val="10"/>
        <rFont val="Arial"/>
        <family val="2"/>
      </rPr>
      <t>rT</t>
    </r>
  </si>
  <si>
    <t>T</t>
  </si>
  <si>
    <t>Initial amount, X</t>
  </si>
  <si>
    <t>Terminal date, T</t>
  </si>
  <si>
    <r>
      <t>Discretely compounded future value, X*(1+r)</t>
    </r>
    <r>
      <rPr>
        <vertAlign val="superscript"/>
        <sz val="10"/>
        <rFont val="Arial"/>
        <family val="2"/>
      </rPr>
      <t>T</t>
    </r>
  </si>
  <si>
    <t>Terminal amount, Y</t>
  </si>
  <si>
    <r>
      <t>Discretely compounded present value, Y/(1+r)</t>
    </r>
    <r>
      <rPr>
        <vertAlign val="superscript"/>
        <sz val="10"/>
        <rFont val="Arial"/>
        <family val="2"/>
      </rPr>
      <t>T</t>
    </r>
  </si>
  <si>
    <t>Month 0</t>
  </si>
  <si>
    <t>Effective annual 
interest rate (EAIR)</t>
  </si>
  <si>
    <t>MORTGAGE WITH MONTHLY PAYMENTS</t>
  </si>
  <si>
    <t>IRR of differential cash flows</t>
  </si>
  <si>
    <t>BASIC LEASE VERSUS PURCHASE
THE DIFFERENTIAL CASH FLOWS</t>
  </si>
  <si>
    <t>Money 
saved by
leasing</t>
  </si>
  <si>
    <t>Effective annual interest rate (EAIR)</t>
  </si>
  <si>
    <t>MONTHLY COMPOUNDING OF CREDIT CARD BALANCES</t>
  </si>
  <si>
    <t>infinite</t>
  </si>
  <si>
    <t>Period</t>
  </si>
  <si>
    <t>Date</t>
  </si>
  <si>
    <t>West
Hampton</t>
  </si>
  <si>
    <t>East
Hampton</t>
  </si>
  <si>
    <t>Initial charges</t>
  </si>
  <si>
    <t>Amount borrowed to
get $100 today</t>
  </si>
  <si>
    <t>CHEAPER LOAN:  WEST HAMPTON 
OR EAST HAMPTON?</t>
  </si>
  <si>
    <t>Date 1, get loan</t>
  </si>
  <si>
    <t>Date 2, pay it back</t>
  </si>
  <si>
    <t>Effective annual interest 
rate, EAIR</t>
  </si>
  <si>
    <t>THE BANK OR LOAN SHARK?</t>
  </si>
  <si>
    <t>Bank</t>
  </si>
  <si>
    <t>FINANCING THE JUNKMOBILE</t>
  </si>
  <si>
    <t>Explanation:  The lease is like a loan--you save 2,500 in year 0 and pay back 1,500 in each of years 1-3.  The IRR of this "loan" is 36.31%.</t>
  </si>
  <si>
    <t>Mortgage term (years)</t>
  </si>
  <si>
    <t>Borrow today</t>
  </si>
  <si>
    <t>Repay in one year</t>
  </si>
  <si>
    <t>Effective annual interest
rate, EAIR</t>
  </si>
  <si>
    <t>HOW LOAN SHARK CHARGES:
14.4% PER YEAR ON A MONTHLY BASIS = 1.2% PER MONTH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</si>
  <si>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</si>
  <si>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</si>
  <si>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</si>
  <si>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</si>
  <si>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</si>
  <si>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</si>
  <si>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</si>
  <si>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</si>
  <si>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</si>
  <si>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</si>
  <si>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</si>
  <si>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</si>
  <si>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Loan balance outstanding at the end of each month</t>
  </si>
  <si>
    <t>DISCRETE AND CONTINUOUS COMPOUNDING</t>
  </si>
  <si>
    <r>
      <t>Continuously compounded future value, X*e</t>
    </r>
    <r>
      <rPr>
        <vertAlign val="superscript"/>
        <sz val="10"/>
        <rFont val="Arial"/>
        <family val="2"/>
      </rPr>
      <t>rT</t>
    </r>
  </si>
  <si>
    <r>
      <t>Continuously compounded present value, Y*e</t>
    </r>
    <r>
      <rPr>
        <vertAlign val="superscript"/>
        <sz val="10"/>
        <rFont val="Arial"/>
        <family val="2"/>
      </rPr>
      <t>-rT</t>
    </r>
  </si>
  <si>
    <t>A second way to compute the EAIR</t>
  </si>
  <si>
    <t>EAIR
Annualized monthly rate</t>
  </si>
  <si>
    <t>Part of payment
that is interest
(expense for
taxes!)</t>
  </si>
  <si>
    <t>Part of payment
that is repayment
of principal
(not an expense
for tax purposes)</t>
  </si>
  <si>
    <t>Effective annual interest rate, EAIR</t>
  </si>
  <si>
    <t>Purchase 
cash flow</t>
  </si>
  <si>
    <t>Lease
cash flow</t>
  </si>
  <si>
    <t>What if you borrowed $2,500 from the bank?</t>
  </si>
  <si>
    <t>Balance
at beginning of month</t>
  </si>
  <si>
    <t>Loan Shark</t>
  </si>
  <si>
    <t>Differential
cash flow</t>
  </si>
  <si>
    <t>Term (years)</t>
  </si>
  <si>
    <t>Effective interest rate</t>
  </si>
  <si>
    <t>Part of payment
that is interest</t>
  </si>
  <si>
    <t>Part of payment
that is repayment
of principal</t>
  </si>
  <si>
    <t>COMPUTING THE MORTGAGE PAYMENTS 
USING IPMT AND PPMT</t>
  </si>
  <si>
    <t>30-YEAR MORTGAGE
With points and origination fee</t>
  </si>
  <si>
    <t>Dealer's "0% financing"</t>
  </si>
  <si>
    <t>Pay cash</t>
  </si>
  <si>
    <t>Effective annual interest rate (EAIR) charged by dealer</t>
  </si>
  <si>
    <t>Borrow from Uncle Frank</t>
  </si>
  <si>
    <t>Differential cash flow</t>
  </si>
  <si>
    <t>Effective annual interest rate (EAIR) charged by Uncle Frank</t>
  </si>
  <si>
    <t>Points</t>
  </si>
  <si>
    <t>Number of years, T</t>
  </si>
  <si>
    <r>
      <t>Discretely compounded future value 
after t years =(1+EAIR)</t>
    </r>
    <r>
      <rPr>
        <vertAlign val="superscript"/>
        <sz val="12"/>
        <rFont val="Arial"/>
        <family val="2"/>
      </rPr>
      <t>T</t>
    </r>
  </si>
  <si>
    <r>
      <t>Continuously compounded future value
=e</t>
    </r>
    <r>
      <rPr>
        <vertAlign val="superscript"/>
        <sz val="12"/>
        <rFont val="Arial"/>
        <family val="2"/>
      </rPr>
      <t>rT</t>
    </r>
  </si>
  <si>
    <t>COMPUTING DISCRETE AND CONTINUOUS RETURNS</t>
  </si>
  <si>
    <t>Investment at time 0</t>
  </si>
  <si>
    <t>Value at time T</t>
  </si>
  <si>
    <t>T (years)</t>
  </si>
  <si>
    <t>Discretely compounded annual return</t>
  </si>
  <si>
    <t>Continously compounded annual return</t>
  </si>
  <si>
    <t>Discrete compounding</t>
  </si>
  <si>
    <t>Continuous compounding</t>
  </si>
  <si>
    <t>Why is this true:  Compounding the initial investment 
to get the future value</t>
  </si>
  <si>
    <r>
      <t>Y/(1+r)</t>
    </r>
    <r>
      <rPr>
        <vertAlign val="superscript"/>
        <sz val="10"/>
        <rFont val="Arial"/>
        <family val="2"/>
      </rPr>
      <t xml:space="preserve">T </t>
    </r>
    <r>
      <rPr>
        <sz val="10"/>
        <rFont val="Arial"/>
        <family val="2"/>
      </rPr>
      <t>= Y*(1+r)</t>
    </r>
    <r>
      <rPr>
        <vertAlign val="superscript"/>
        <sz val="10"/>
        <rFont val="Arial"/>
        <family val="2"/>
      </rPr>
      <t>-T</t>
    </r>
  </si>
  <si>
    <r>
      <t>Y/e</t>
    </r>
    <r>
      <rPr>
        <vertAlign val="superscript"/>
        <sz val="10"/>
        <rFont val="Arial"/>
        <family val="2"/>
      </rPr>
      <t>rT</t>
    </r>
    <r>
      <rPr>
        <sz val="10"/>
        <rFont val="Arial"/>
        <family val="2"/>
      </rPr>
      <t xml:space="preserve"> = Y*e</t>
    </r>
    <r>
      <rPr>
        <vertAlign val="superscript"/>
        <sz val="10"/>
        <rFont val="Arial"/>
        <family val="2"/>
      </rPr>
      <t>-rT</t>
    </r>
  </si>
  <si>
    <t>WE TEACH YOU BEST UNIVERSITY</t>
  </si>
  <si>
    <t>Page</t>
  </si>
  <si>
    <t>Content</t>
  </si>
  <si>
    <t>Page 138</t>
  </si>
  <si>
    <r>
      <t xml:space="preserve">Monthly </t>
    </r>
    <r>
      <rPr>
        <b/>
        <sz val="10"/>
        <rFont val="Arial"/>
        <family val="2"/>
      </rPr>
      <t>IRR</t>
    </r>
  </si>
  <si>
    <r>
      <t xml:space="preserve">Monthly </t>
    </r>
    <r>
      <rPr>
        <b/>
        <sz val="10"/>
        <rFont val="Arial"/>
        <family val="2"/>
      </rPr>
      <t>IRR</t>
    </r>
    <r>
      <rPr>
        <sz val="10"/>
        <rFont val="Arial"/>
        <family val="2"/>
      </rPr>
      <t xml:space="preserve"> using
Excel's </t>
    </r>
    <r>
      <rPr>
        <b/>
        <sz val="10"/>
        <rFont val="Arial"/>
        <family val="2"/>
      </rPr>
      <t>Rate</t>
    </r>
    <r>
      <rPr>
        <sz val="10"/>
        <rFont val="Arial"/>
        <family val="2"/>
      </rPr>
      <t xml:space="preserve"> function</t>
    </r>
  </si>
  <si>
    <t>ANALYZING A CAR LEASE</t>
  </si>
  <si>
    <t>Car purchase price</t>
  </si>
  <si>
    <t>Initial lease payment</t>
  </si>
  <si>
    <t>Lessee guaranteed terminal value</t>
  </si>
  <si>
    <t>Lessee estimated terminal value</t>
  </si>
  <si>
    <t>Lessee estimated final lease payment</t>
  </si>
  <si>
    <t>Monthly lease paymet</t>
  </si>
  <si>
    <t>Monthly effective rate</t>
  </si>
  <si>
    <t>EAIR, annualized IRR</t>
  </si>
  <si>
    <t>Bank interest rate</t>
  </si>
  <si>
    <t>Lease payments</t>
  </si>
  <si>
    <t>Purchase payment</t>
  </si>
  <si>
    <t>Differential cash flows: Lease minus purchse</t>
  </si>
  <si>
    <t>Data table: Lease IRR vs. car terminal value</t>
  </si>
  <si>
    <t>Estimated terminal value</t>
  </si>
  <si>
    <t>Lease IRR</t>
  </si>
  <si>
    <t>Lease of buy?</t>
  </si>
  <si>
    <t>&lt;-- Data table headers are hidden</t>
  </si>
  <si>
    <t>DETERMINING THE BREAKEVEN ESTINATED TERMINAL VALUE</t>
  </si>
  <si>
    <t xml:space="preserve">This sheet computes the lessee's estimated terminal value (cell B6) for which the EAIR (cell B11) is equal to the bank lending rate (cell B12). This value ($10,067) is the breakeven value for leasing: If the lessee thinks that the terminal value of the car &lt; $10,067, she should lease; otherwise she should buy the car </t>
  </si>
  <si>
    <t>Note: Because of the way we have defined cell B13, at a terminal value of 10,067, it says "lease" and at a terminal value of $10,068 it says "purchase".</t>
  </si>
  <si>
    <t>Page 140</t>
  </si>
  <si>
    <t>Page 141</t>
  </si>
  <si>
    <t>Page 142</t>
  </si>
  <si>
    <t>Page 144</t>
  </si>
  <si>
    <t>Page 145+146</t>
  </si>
  <si>
    <t>Page 147</t>
  </si>
  <si>
    <t>Page 149</t>
  </si>
  <si>
    <t>Page 150</t>
  </si>
  <si>
    <t>Page 152</t>
  </si>
  <si>
    <t>Page 153</t>
  </si>
  <si>
    <t>Page 153 bottom + page 154</t>
  </si>
  <si>
    <t>Page 155</t>
  </si>
  <si>
    <t>Page 158</t>
  </si>
  <si>
    <t>Page 160</t>
  </si>
  <si>
    <t>Page 161</t>
  </si>
  <si>
    <t>Page 164</t>
  </si>
  <si>
    <t>Page 165</t>
  </si>
  <si>
    <t>Pages 165+166, drawings</t>
  </si>
  <si>
    <t>Page 166</t>
  </si>
  <si>
    <t>Page 167</t>
  </si>
  <si>
    <t>Page 168</t>
  </si>
  <si>
    <t>DISCRETE AND CONTINIOUS COUMPOUNDING DRAWINGS</t>
  </si>
  <si>
    <t>CHAPTER 5 EXCEL SPREADSHEET 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</si>
</sst>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8" formatCode="&quot;$&quot;#,##0.00_);[Red]\(&quot;$&quot;#,##0.00\)"/>
    <numFmt numFmtId="44" formatCode="_(&quot;$&quot;* #,##0.00_);_(&quot;$&quot;* \(#,##0.00\);_(&quot;$&quot;* &quot;-&quot;??_);_(@_)"/>
    <numFmt numFmtId="164" formatCode="0.0%"/>
    <numFmt numFmtId="165" formatCode="0.000%"/>
    <numFmt numFmtId="166" formatCode="0.0000%"/>
    <numFmt numFmtId="167" formatCode="_(* #,##0.0000000_);_(* \(#,##0.0000000\);_(* &quot;-&quot;??_);_(@_)"/>
    <numFmt numFmtId="168" formatCode="0.0000"/>
    <numFmt numFmtId="169" formatCode="0.000"/>
    <numFmt numFmtId="170" formatCode="0.0000000%"/>
    <numFmt numFmtId="171" formatCode="0.00000%"/>
    <numFmt numFmtId="172" formatCode=";;;"/>
  </numFmts>
  <fonts count="1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vertAlign val="superscript"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vertAlign val="superscript"/>
      <sz val="12"/>
      <name val="Arial"/>
      <family val="2"/>
    </font>
    <font>
      <u/>
      <sz val="10"/>
      <color theme="10"/>
      <name val="Arial"/>
      <family val="2"/>
    </font>
    <font>
      <sz val="9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1" fillId="0" borderId="0" applyNumberFormat="0" applyFill="0" applyBorder="0" applyAlignment="0" applyProtection="0"/>
  </cellStyleXfs>
  <cellXfs count="112">
    <xf numFmtId="0" fontId="0" fillId="0" borderId="0" xfId="0"/>
    <xf numFmtId="3" fontId="0" fillId="0" borderId="0" xfId="0" applyNumberFormat="1"/>
    <xf numFmtId="9" fontId="0" fillId="0" borderId="0" xfId="0" applyNumberFormat="1"/>
    <xf numFmtId="4" fontId="0" fillId="0" borderId="0" xfId="1" applyNumberFormat="1" applyFont="1"/>
    <xf numFmtId="4" fontId="0" fillId="0" borderId="0" xfId="0" applyNumberFormat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0" borderId="0" xfId="0" applyFont="1"/>
    <xf numFmtId="164" fontId="0" fillId="0" borderId="0" xfId="0" applyNumberFormat="1"/>
    <xf numFmtId="10" fontId="0" fillId="0" borderId="0" xfId="0" applyNumberFormat="1"/>
    <xf numFmtId="164" fontId="0" fillId="0" borderId="0" xfId="3" applyNumberFormat="1" applyFont="1"/>
    <xf numFmtId="10" fontId="0" fillId="0" borderId="0" xfId="3" applyNumberFormat="1" applyFont="1"/>
    <xf numFmtId="40" fontId="0" fillId="0" borderId="0" xfId="0" applyNumberFormat="1"/>
    <xf numFmtId="166" fontId="0" fillId="0" borderId="0" xfId="0" applyNumberFormat="1"/>
    <xf numFmtId="2" fontId="0" fillId="0" borderId="0" xfId="0" applyNumberFormat="1"/>
    <xf numFmtId="0" fontId="2" fillId="0" borderId="0" xfId="0" applyFont="1" applyAlignment="1">
      <alignment horizontal="center" wrapText="1"/>
    </xf>
    <xf numFmtId="0" fontId="0" fillId="0" borderId="0" xfId="0" applyAlignment="1">
      <alignment horizontal="left"/>
    </xf>
    <xf numFmtId="4" fontId="1" fillId="0" borderId="0" xfId="1" applyNumberFormat="1"/>
    <xf numFmtId="1" fontId="0" fillId="0" borderId="0" xfId="0" applyNumberFormat="1"/>
    <xf numFmtId="0" fontId="0" fillId="0" borderId="0" xfId="0" applyAlignment="1">
      <alignment wrapText="1"/>
    </xf>
    <xf numFmtId="8" fontId="0" fillId="0" borderId="0" xfId="0" applyNumberFormat="1"/>
    <xf numFmtId="167" fontId="0" fillId="0" borderId="0" xfId="1" applyNumberFormat="1" applyFont="1"/>
    <xf numFmtId="166" fontId="0" fillId="0" borderId="0" xfId="3" applyNumberFormat="1" applyFont="1"/>
    <xf numFmtId="0" fontId="4" fillId="0" borderId="0" xfId="0" applyFont="1"/>
    <xf numFmtId="3" fontId="0" fillId="0" borderId="0" xfId="0" applyNumberForma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NumberFormat="1"/>
    <xf numFmtId="4" fontId="2" fillId="0" borderId="0" xfId="0" applyNumberFormat="1" applyFont="1" applyAlignment="1">
      <alignment horizontal="center" wrapText="1"/>
    </xf>
    <xf numFmtId="0" fontId="0" fillId="2" borderId="0" xfId="0" applyFill="1" applyAlignment="1">
      <alignment wrapText="1"/>
    </xf>
    <xf numFmtId="10" fontId="1" fillId="2" borderId="0" xfId="3" applyNumberFormat="1" applyFill="1"/>
    <xf numFmtId="0" fontId="0" fillId="2" borderId="0" xfId="0" applyFill="1"/>
    <xf numFmtId="10" fontId="0" fillId="2" borderId="0" xfId="3" applyNumberFormat="1" applyFont="1" applyFill="1"/>
    <xf numFmtId="166" fontId="0" fillId="2" borderId="0" xfId="3" applyNumberFormat="1" applyFont="1" applyFill="1"/>
    <xf numFmtId="0" fontId="0" fillId="0" borderId="0" xfId="0" applyAlignment="1">
      <alignment horizontal="left" wrapText="1"/>
    </xf>
    <xf numFmtId="0" fontId="0" fillId="0" borderId="0" xfId="3" applyNumberFormat="1" applyFont="1"/>
    <xf numFmtId="168" fontId="0" fillId="2" borderId="0" xfId="1" applyNumberFormat="1" applyFont="1" applyFill="1"/>
    <xf numFmtId="168" fontId="0" fillId="2" borderId="0" xfId="0" applyNumberFormat="1" applyFill="1"/>
    <xf numFmtId="169" fontId="0" fillId="2" borderId="0" xfId="0" applyNumberFormat="1" applyFill="1"/>
    <xf numFmtId="165" fontId="0" fillId="2" borderId="0" xfId="3" applyNumberFormat="1" applyFont="1" applyFill="1"/>
    <xf numFmtId="4" fontId="0" fillId="0" borderId="0" xfId="0" applyNumberFormat="1" applyAlignment="1">
      <alignment horizontal="center"/>
    </xf>
    <xf numFmtId="10" fontId="0" fillId="0" borderId="0" xfId="3" applyNumberFormat="1" applyFont="1" applyFill="1"/>
    <xf numFmtId="3" fontId="7" fillId="0" borderId="0" xfId="0" applyNumberFormat="1" applyFont="1"/>
    <xf numFmtId="0" fontId="7" fillId="0" borderId="0" xfId="0" applyFont="1"/>
    <xf numFmtId="0" fontId="0" fillId="2" borderId="0" xfId="0" applyFill="1" applyAlignment="1">
      <alignment horizontal="center"/>
    </xf>
    <xf numFmtId="8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  <xf numFmtId="10" fontId="0" fillId="0" borderId="0" xfId="3" applyNumberFormat="1" applyFont="1" applyAlignment="1">
      <alignment horizontal="center"/>
    </xf>
    <xf numFmtId="165" fontId="0" fillId="0" borderId="0" xfId="3" applyNumberFormat="1" applyFont="1" applyAlignment="1">
      <alignment horizontal="center"/>
    </xf>
    <xf numFmtId="166" fontId="1" fillId="2" borderId="0" xfId="3" applyNumberFormat="1" applyFill="1"/>
    <xf numFmtId="4" fontId="0" fillId="2" borderId="0" xfId="0" applyNumberFormat="1" applyFill="1"/>
    <xf numFmtId="10" fontId="0" fillId="2" borderId="0" xfId="0" applyNumberFormat="1" applyFill="1"/>
    <xf numFmtId="0" fontId="2" fillId="0" borderId="0" xfId="0" applyFont="1" applyAlignment="1">
      <alignment horizontal="left" wrapText="1"/>
    </xf>
    <xf numFmtId="10" fontId="4" fillId="2" borderId="0" xfId="3" applyNumberFormat="1" applyFont="1" applyFill="1" applyAlignment="1">
      <alignment horizontal="right"/>
    </xf>
    <xf numFmtId="0" fontId="4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44" fontId="1" fillId="2" borderId="0" xfId="2" applyFill="1"/>
    <xf numFmtId="44" fontId="1" fillId="0" borderId="0" xfId="2"/>
    <xf numFmtId="0" fontId="0" fillId="0" borderId="0" xfId="0" applyFill="1"/>
    <xf numFmtId="8" fontId="0" fillId="3" borderId="0" xfId="0" applyNumberFormat="1" applyFill="1" applyAlignment="1">
      <alignment horizontal="center"/>
    </xf>
    <xf numFmtId="0" fontId="0" fillId="3" borderId="0" xfId="0" applyFill="1" applyAlignment="1">
      <alignment horizontal="center"/>
    </xf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10" fontId="4" fillId="0" borderId="0" xfId="0" applyNumberFormat="1" applyFont="1" applyAlignment="1">
      <alignment horizontal="right"/>
    </xf>
    <xf numFmtId="0" fontId="0" fillId="0" borderId="0" xfId="0" applyFill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2" applyNumberFormat="1" applyFont="1"/>
    <xf numFmtId="0" fontId="1" fillId="0" borderId="0" xfId="0" applyFont="1" applyAlignment="1">
      <alignment wrapText="1"/>
    </xf>
    <xf numFmtId="10" fontId="0" fillId="4" borderId="0" xfId="0" applyNumberFormat="1" applyFill="1"/>
    <xf numFmtId="0" fontId="1" fillId="0" borderId="0" xfId="0" applyFont="1" applyAlignment="1">
      <alignment horizontal="left"/>
    </xf>
    <xf numFmtId="10" fontId="4" fillId="0" borderId="0" xfId="3" applyNumberFormat="1" applyFont="1" applyAlignment="1">
      <alignment horizontal="right"/>
    </xf>
    <xf numFmtId="0" fontId="0" fillId="4" borderId="0" xfId="0" applyFill="1" applyAlignment="1">
      <alignment horizontal="center"/>
    </xf>
    <xf numFmtId="0" fontId="1" fillId="0" borderId="0" xfId="0" applyFont="1" applyAlignment="1">
      <alignment horizontal="left" wrapText="1"/>
    </xf>
    <xf numFmtId="0" fontId="1" fillId="0" borderId="0" xfId="0" applyFont="1"/>
    <xf numFmtId="0" fontId="1" fillId="4" borderId="0" xfId="0" applyFont="1" applyFill="1"/>
    <xf numFmtId="10" fontId="0" fillId="4" borderId="0" xfId="3" applyNumberFormat="1" applyFont="1" applyFill="1"/>
    <xf numFmtId="0" fontId="1" fillId="2" borderId="0" xfId="0" applyFont="1" applyFill="1" applyAlignment="1">
      <alignment wrapText="1"/>
    </xf>
    <xf numFmtId="0" fontId="1" fillId="0" borderId="0" xfId="0" applyFont="1" applyAlignment="1">
      <alignment horizontal="center"/>
    </xf>
    <xf numFmtId="4" fontId="4" fillId="0" borderId="0" xfId="0" applyNumberFormat="1" applyFont="1" applyAlignment="1">
      <alignment horizontal="right"/>
    </xf>
    <xf numFmtId="170" fontId="0" fillId="0" borderId="0" xfId="0" applyNumberFormat="1"/>
    <xf numFmtId="0" fontId="0" fillId="0" borderId="0" xfId="0" applyAlignment="1">
      <alignment horizontal="center"/>
    </xf>
    <xf numFmtId="171" fontId="0" fillId="0" borderId="0" xfId="3" applyNumberFormat="1" applyFont="1"/>
    <xf numFmtId="0" fontId="11" fillId="0" borderId="0" xfId="4" quotePrefix="1"/>
    <xf numFmtId="0" fontId="0" fillId="5" borderId="0" xfId="0" applyFill="1"/>
    <xf numFmtId="0" fontId="2" fillId="0" borderId="0" xfId="0" applyFont="1" applyAlignment="1">
      <alignment wrapText="1"/>
    </xf>
    <xf numFmtId="0" fontId="0" fillId="0" borderId="0" xfId="0" quotePrefix="1"/>
    <xf numFmtId="10" fontId="0" fillId="5" borderId="0" xfId="0" applyNumberFormat="1" applyFill="1"/>
    <xf numFmtId="172" fontId="0" fillId="0" borderId="0" xfId="0" applyNumberFormat="1" applyAlignment="1">
      <alignment horizontal="center"/>
    </xf>
    <xf numFmtId="10" fontId="0" fillId="0" borderId="0" xfId="0" applyNumberForma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/>
    </xf>
    <xf numFmtId="8" fontId="0" fillId="3" borderId="0" xfId="0" applyNumberFormat="1" applyFill="1" applyAlignment="1">
      <alignment horizontal="center" vertical="center"/>
    </xf>
    <xf numFmtId="0" fontId="9" fillId="3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/>
    </xf>
    <xf numFmtId="0" fontId="2" fillId="6" borderId="0" xfId="0" applyFont="1" applyFill="1" applyAlignment="1">
      <alignment horizontal="center"/>
    </xf>
    <xf numFmtId="0" fontId="12" fillId="0" borderId="0" xfId="0" applyFont="1" applyAlignment="1">
      <alignment horizontal="left" wrapText="1"/>
    </xf>
    <xf numFmtId="0" fontId="12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5">
    <cellStyle name="Comma" xfId="1" builtinId="3"/>
    <cellStyle name="Currency" xfId="2" builtinId="4"/>
    <cellStyle name="Hyperlink" xfId="4" builtinId="8"/>
    <cellStyle name="Normal" xfId="0" builtinId="0"/>
    <cellStyle name="Percent" xfId="3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Lease IRR as function of car's estimated value at end</a:t>
            </a:r>
            <a:r>
              <a:rPr lang="en-US" baseline="0"/>
              <a:t> of lease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158'!$A$47:$A$67</c:f>
              <c:numCache>
                <c:formatCode>#,##0</c:formatCode>
                <c:ptCount val="21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  <c:pt idx="8">
                  <c:v>8000</c:v>
                </c:pt>
                <c:pt idx="9">
                  <c:v>9000</c:v>
                </c:pt>
                <c:pt idx="10">
                  <c:v>10000</c:v>
                </c:pt>
                <c:pt idx="11">
                  <c:v>10067.740782968556</c:v>
                </c:pt>
                <c:pt idx="12">
                  <c:v>11000</c:v>
                </c:pt>
                <c:pt idx="13">
                  <c:v>12000</c:v>
                </c:pt>
                <c:pt idx="14">
                  <c:v>13000</c:v>
                </c:pt>
                <c:pt idx="15">
                  <c:v>14000</c:v>
                </c:pt>
                <c:pt idx="16">
                  <c:v>15000</c:v>
                </c:pt>
                <c:pt idx="17">
                  <c:v>16000</c:v>
                </c:pt>
                <c:pt idx="18">
                  <c:v>17000</c:v>
                </c:pt>
                <c:pt idx="19">
                  <c:v>18000</c:v>
                </c:pt>
                <c:pt idx="20">
                  <c:v>19000</c:v>
                </c:pt>
              </c:numCache>
            </c:numRef>
          </c:xVal>
          <c:yVal>
            <c:numRef>
              <c:f>'Page 158'!$B$47:$B$67</c:f>
              <c:numCache>
                <c:formatCode>0.00%</c:formatCode>
                <c:ptCount val="21"/>
                <c:pt idx="0">
                  <c:v>5.7643990186261762E-2</c:v>
                </c:pt>
                <c:pt idx="1">
                  <c:v>5.7643990186261762E-2</c:v>
                </c:pt>
                <c:pt idx="2">
                  <c:v>5.7643990186261762E-2</c:v>
                </c:pt>
                <c:pt idx="3">
                  <c:v>5.7643990186261762E-2</c:v>
                </c:pt>
                <c:pt idx="4">
                  <c:v>5.7643990186261762E-2</c:v>
                </c:pt>
                <c:pt idx="5">
                  <c:v>5.7643990186261762E-2</c:v>
                </c:pt>
                <c:pt idx="6">
                  <c:v>5.7643990186261762E-2</c:v>
                </c:pt>
                <c:pt idx="7">
                  <c:v>5.7643990186261762E-2</c:v>
                </c:pt>
                <c:pt idx="8">
                  <c:v>5.7643990186261762E-2</c:v>
                </c:pt>
                <c:pt idx="9">
                  <c:v>5.7643990186261762E-2</c:v>
                </c:pt>
                <c:pt idx="10">
                  <c:v>5.7643990186261762E-2</c:v>
                </c:pt>
                <c:pt idx="11">
                  <c:v>6.0000004751669556E-2</c:v>
                </c:pt>
                <c:pt idx="12">
                  <c:v>9.1797024746395062E-2</c:v>
                </c:pt>
                <c:pt idx="13">
                  <c:v>0.12469946821362021</c:v>
                </c:pt>
                <c:pt idx="14">
                  <c:v>0.15647928896909358</c:v>
                </c:pt>
                <c:pt idx="15">
                  <c:v>0.18724399372885592</c:v>
                </c:pt>
                <c:pt idx="16">
                  <c:v>0.21708493777771065</c:v>
                </c:pt>
                <c:pt idx="17">
                  <c:v>0.24608053311750377</c:v>
                </c:pt>
                <c:pt idx="18">
                  <c:v>0.27429868062959728</c:v>
                </c:pt>
                <c:pt idx="19">
                  <c:v>0.30179864413247803</c:v>
                </c:pt>
                <c:pt idx="20">
                  <c:v>0.32863251536650018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99E-4021-AB9A-5820E921F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728064"/>
        <c:axId val="254734336"/>
      </c:scatterChart>
      <c:valAx>
        <c:axId val="254728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734336"/>
        <c:crosses val="autoZero"/>
        <c:crossBetween val="midCat"/>
        <c:majorUnit val="1000"/>
      </c:valAx>
      <c:valAx>
        <c:axId val="2547343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728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Lease IRR as function of car's estimated value at end</a:t>
            </a:r>
            <a:r>
              <a:rPr lang="en-US" baseline="0"/>
              <a:t> of lease</a:t>
            </a:r>
            <a:endParaRPr lang="en-US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'Page 160'!$A$47:$A$67</c:f>
              <c:numCache>
                <c:formatCode>#,##0</c:formatCode>
                <c:ptCount val="21"/>
                <c:pt idx="0">
                  <c:v>0</c:v>
                </c:pt>
                <c:pt idx="1">
                  <c:v>1000</c:v>
                </c:pt>
                <c:pt idx="2">
                  <c:v>2000</c:v>
                </c:pt>
                <c:pt idx="3">
                  <c:v>3000</c:v>
                </c:pt>
                <c:pt idx="4">
                  <c:v>4000</c:v>
                </c:pt>
                <c:pt idx="5">
                  <c:v>5000</c:v>
                </c:pt>
                <c:pt idx="6">
                  <c:v>6000</c:v>
                </c:pt>
                <c:pt idx="7">
                  <c:v>7000</c:v>
                </c:pt>
                <c:pt idx="8">
                  <c:v>8000</c:v>
                </c:pt>
                <c:pt idx="9">
                  <c:v>9000</c:v>
                </c:pt>
                <c:pt idx="10">
                  <c:v>10000</c:v>
                </c:pt>
                <c:pt idx="11">
                  <c:v>10067.740782968556</c:v>
                </c:pt>
                <c:pt idx="12">
                  <c:v>11000</c:v>
                </c:pt>
                <c:pt idx="13">
                  <c:v>12000</c:v>
                </c:pt>
                <c:pt idx="14">
                  <c:v>13000</c:v>
                </c:pt>
                <c:pt idx="15">
                  <c:v>14000</c:v>
                </c:pt>
                <c:pt idx="16">
                  <c:v>15000</c:v>
                </c:pt>
                <c:pt idx="17">
                  <c:v>16000</c:v>
                </c:pt>
                <c:pt idx="18">
                  <c:v>17000</c:v>
                </c:pt>
                <c:pt idx="19">
                  <c:v>18000</c:v>
                </c:pt>
                <c:pt idx="20">
                  <c:v>19000</c:v>
                </c:pt>
              </c:numCache>
            </c:numRef>
          </c:xVal>
          <c:yVal>
            <c:numRef>
              <c:f>'Page 160'!$B$47:$B$67</c:f>
              <c:numCache>
                <c:formatCode>0.00%</c:formatCode>
                <c:ptCount val="21"/>
                <c:pt idx="0">
                  <c:v>5.7643990186261762E-2</c:v>
                </c:pt>
                <c:pt idx="1">
                  <c:v>5.7643990186261762E-2</c:v>
                </c:pt>
                <c:pt idx="2">
                  <c:v>5.7643990186261762E-2</c:v>
                </c:pt>
                <c:pt idx="3">
                  <c:v>5.7643990186261762E-2</c:v>
                </c:pt>
                <c:pt idx="4">
                  <c:v>5.7643990186261762E-2</c:v>
                </c:pt>
                <c:pt idx="5">
                  <c:v>5.7643990186261762E-2</c:v>
                </c:pt>
                <c:pt idx="6">
                  <c:v>5.7643990186261762E-2</c:v>
                </c:pt>
                <c:pt idx="7">
                  <c:v>5.7643990186261762E-2</c:v>
                </c:pt>
                <c:pt idx="8">
                  <c:v>5.7643990186261762E-2</c:v>
                </c:pt>
                <c:pt idx="9">
                  <c:v>5.7643990186261762E-2</c:v>
                </c:pt>
                <c:pt idx="10">
                  <c:v>5.7643990186261762E-2</c:v>
                </c:pt>
                <c:pt idx="11">
                  <c:v>6.0000004751669556E-2</c:v>
                </c:pt>
                <c:pt idx="12">
                  <c:v>9.1797024746395062E-2</c:v>
                </c:pt>
                <c:pt idx="13">
                  <c:v>0.12469946821362021</c:v>
                </c:pt>
                <c:pt idx="14">
                  <c:v>0.15647928896909358</c:v>
                </c:pt>
                <c:pt idx="15">
                  <c:v>0.18724399372885592</c:v>
                </c:pt>
                <c:pt idx="16">
                  <c:v>0.21708493777771065</c:v>
                </c:pt>
                <c:pt idx="17">
                  <c:v>0.24608053311750377</c:v>
                </c:pt>
                <c:pt idx="18">
                  <c:v>0.27429868062959728</c:v>
                </c:pt>
                <c:pt idx="19">
                  <c:v>0.30179864413247803</c:v>
                </c:pt>
                <c:pt idx="20">
                  <c:v>0.32863251536650018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BA60-477F-9A4C-D56D54F518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4894080"/>
        <c:axId val="254896000"/>
      </c:scatterChart>
      <c:valAx>
        <c:axId val="2548940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896000"/>
        <c:crosses val="autoZero"/>
        <c:crossBetween val="midCat"/>
        <c:majorUnit val="1000"/>
      </c:valAx>
      <c:valAx>
        <c:axId val="2548960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89408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1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EAIR as a Function of the Number of Compounding Periods Per Year</a:t>
            </a:r>
          </a:p>
        </c:rich>
      </c:tx>
      <c:layout>
        <c:manualLayout>
          <c:xMode val="edge"/>
          <c:yMode val="edge"/>
          <c:x val="0.25778561493560531"/>
          <c:y val="2.3872789097239135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408000025983938"/>
          <c:y val="0.15807613185987146"/>
          <c:w val="0.753881082274939"/>
          <c:h val="0.66323246628163368"/>
        </c:manualLayout>
      </c:layout>
      <c:scatterChart>
        <c:scatterStyle val="smoothMarker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xVal>
            <c:numRef>
              <c:f>'Page 164'!$A$5:$A$19</c:f>
              <c:numCache>
                <c:formatCode>General</c:formatCode>
                <c:ptCount val="1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12</c:v>
                </c:pt>
                <c:pt idx="6">
                  <c:v>24</c:v>
                </c:pt>
                <c:pt idx="7">
                  <c:v>36</c:v>
                </c:pt>
                <c:pt idx="8">
                  <c:v>52</c:v>
                </c:pt>
                <c:pt idx="9">
                  <c:v>100</c:v>
                </c:pt>
                <c:pt idx="10">
                  <c:v>150</c:v>
                </c:pt>
                <c:pt idx="11">
                  <c:v>200</c:v>
                </c:pt>
                <c:pt idx="12">
                  <c:v>250</c:v>
                </c:pt>
                <c:pt idx="13">
                  <c:v>300</c:v>
                </c:pt>
                <c:pt idx="14">
                  <c:v>365</c:v>
                </c:pt>
              </c:numCache>
            </c:numRef>
          </c:xVal>
          <c:yVal>
            <c:numRef>
              <c:f>'Page 164'!$C$5:$C$19</c:f>
              <c:numCache>
                <c:formatCode>0.000%</c:formatCode>
                <c:ptCount val="15"/>
                <c:pt idx="0">
                  <c:v>0.17999999999999994</c:v>
                </c:pt>
                <c:pt idx="1">
                  <c:v>0.18810000000000016</c:v>
                </c:pt>
                <c:pt idx="2">
                  <c:v>0.1910160000000003</c:v>
                </c:pt>
                <c:pt idx="3">
                  <c:v>0.19251860062499948</c:v>
                </c:pt>
                <c:pt idx="4">
                  <c:v>0.19405229652899991</c:v>
                </c:pt>
                <c:pt idx="5">
                  <c:v>0.19561817146153326</c:v>
                </c:pt>
                <c:pt idx="6">
                  <c:v>0.1964135293926228</c:v>
                </c:pt>
                <c:pt idx="7">
                  <c:v>0.19668052482341269</c:v>
                </c:pt>
                <c:pt idx="8">
                  <c:v>0.19684530018489221</c:v>
                </c:pt>
                <c:pt idx="9">
                  <c:v>0.19702366200571197</c:v>
                </c:pt>
                <c:pt idx="10">
                  <c:v>0.19708817396393852</c:v>
                </c:pt>
                <c:pt idx="11">
                  <c:v>0.19712045058354266</c:v>
                </c:pt>
                <c:pt idx="12">
                  <c:v>0.1971398231659709</c:v>
                </c:pt>
                <c:pt idx="13">
                  <c:v>0.19715274097656366</c:v>
                </c:pt>
                <c:pt idx="14">
                  <c:v>0.19716424499274088</c:v>
                </c:pt>
              </c:numCache>
            </c:numRef>
          </c:yVal>
          <c:smooth val="1"/>
          <c:extLst xmlns:c16r2="http://schemas.microsoft.com/office/drawing/2015/06/chart">
            <c:ext xmlns:c16="http://schemas.microsoft.com/office/drawing/2014/chart" uri="{C3380CC4-5D6E-409C-BE32-E72D297353CC}">
              <c16:uniqueId val="{00000000-E618-4F4D-AF3A-0EFB30CFA9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55043072"/>
        <c:axId val="255053824"/>
      </c:scatterChart>
      <c:valAx>
        <c:axId val="255043072"/>
        <c:scaling>
          <c:logBase val="10"/>
          <c:orientation val="minMax"/>
          <c:max val="1000"/>
          <c:min val="1"/>
        </c:scaling>
        <c:delete val="0"/>
        <c:axPos val="b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Number of annual compounding periods</a:t>
                </a:r>
              </a:p>
            </c:rich>
          </c:tx>
          <c:layout>
            <c:manualLayout>
              <c:xMode val="edge"/>
              <c:yMode val="edge"/>
              <c:x val="0.26643620766916332"/>
              <c:y val="0.90716346023757333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53824"/>
        <c:crosses val="autoZero"/>
        <c:crossBetween val="midCat"/>
        <c:majorUnit val="10"/>
        <c:minorUnit val="10"/>
      </c:valAx>
      <c:valAx>
        <c:axId val="255053824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>
                  <a:defRPr sz="97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EAIR</a:t>
                </a:r>
              </a:p>
            </c:rich>
          </c:tx>
          <c:layout>
            <c:manualLayout>
              <c:xMode val="edge"/>
              <c:yMode val="edge"/>
              <c:x val="1.2110736712234697E-2"/>
              <c:y val="0.44031892920601456"/>
            </c:manualLayout>
          </c:layout>
          <c:overlay val="0"/>
          <c:spPr>
            <a:noFill/>
            <a:ln w="25400">
              <a:noFill/>
            </a:ln>
          </c:spPr>
        </c:title>
        <c:numFmt formatCode="0.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55043072"/>
        <c:crosses val="autoZero"/>
        <c:crossBetween val="midCat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9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78" r="0.75000000000000078" t="1" header="0.5" footer="0.5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1104900</xdr:colOff>
      <xdr:row>10</xdr:row>
      <xdr:rowOff>95250</xdr:rowOff>
    </xdr:from>
    <xdr:to>
      <xdr:col>6</xdr:col>
      <xdr:colOff>19050</xdr:colOff>
      <xdr:row>13</xdr:row>
      <xdr:rowOff>19050</xdr:rowOff>
    </xdr:to>
    <xdr:sp macro="" textlink="">
      <xdr:nvSpPr>
        <xdr:cNvPr id="12297" name="Line 1">
          <a:extLst>
            <a:ext uri="{FF2B5EF4-FFF2-40B4-BE49-F238E27FC236}">
              <a16:creationId xmlns:a16="http://schemas.microsoft.com/office/drawing/2014/main" xmlns="" id="{00000000-0008-0000-0100-000009300000}"/>
            </a:ext>
          </a:extLst>
        </xdr:cNvPr>
        <xdr:cNvSpPr>
          <a:spLocks noChangeShapeType="1"/>
        </xdr:cNvSpPr>
      </xdr:nvSpPr>
      <xdr:spPr bwMode="auto">
        <a:xfrm flipH="1">
          <a:off x="1104900" y="2085975"/>
          <a:ext cx="5657850" cy="409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24</xdr:row>
      <xdr:rowOff>76200</xdr:rowOff>
    </xdr:from>
    <xdr:to>
      <xdr:col>3</xdr:col>
      <xdr:colOff>190500</xdr:colOff>
      <xdr:row>34</xdr:row>
      <xdr:rowOff>161925</xdr:rowOff>
    </xdr:to>
    <xdr:sp macro="" textlink="">
      <xdr:nvSpPr>
        <xdr:cNvPr id="6177" name="Line 5">
          <a:extLst>
            <a:ext uri="{FF2B5EF4-FFF2-40B4-BE49-F238E27FC236}">
              <a16:creationId xmlns:a16="http://schemas.microsoft.com/office/drawing/2014/main" xmlns="" id="{00000000-0008-0000-0500-000021180000}"/>
            </a:ext>
          </a:extLst>
        </xdr:cNvPr>
        <xdr:cNvSpPr>
          <a:spLocks noChangeShapeType="1"/>
        </xdr:cNvSpPr>
      </xdr:nvSpPr>
      <xdr:spPr bwMode="auto">
        <a:xfrm flipV="1">
          <a:off x="2962275" y="5038725"/>
          <a:ext cx="581025" cy="1704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0</xdr:col>
      <xdr:colOff>600075</xdr:colOff>
      <xdr:row>25</xdr:row>
      <xdr:rowOff>114300</xdr:rowOff>
    </xdr:from>
    <xdr:to>
      <xdr:col>1</xdr:col>
      <xdr:colOff>123825</xdr:colOff>
      <xdr:row>35</xdr:row>
      <xdr:rowOff>19050</xdr:rowOff>
    </xdr:to>
    <xdr:cxnSp macro="">
      <xdr:nvCxnSpPr>
        <xdr:cNvPr id="6178" name="Straight Arrow Connector 6">
          <a:extLst>
            <a:ext uri="{FF2B5EF4-FFF2-40B4-BE49-F238E27FC236}">
              <a16:creationId xmlns:a16="http://schemas.microsoft.com/office/drawing/2014/main" xmlns="" id="{00000000-0008-0000-0500-000022180000}"/>
            </a:ext>
          </a:extLst>
        </xdr:cNvPr>
        <xdr:cNvCxnSpPr>
          <a:cxnSpLocks noChangeShapeType="1"/>
        </xdr:cNvCxnSpPr>
      </xdr:nvCxnSpPr>
      <xdr:spPr bwMode="auto">
        <a:xfrm rot="5400000" flipH="1" flipV="1">
          <a:off x="252413" y="5586412"/>
          <a:ext cx="1524000" cy="828675"/>
        </a:xfrm>
        <a:prstGeom prst="straightConnector1">
          <a:avLst/>
        </a:prstGeom>
        <a:noFill/>
        <a:ln w="9525" algn="ctr">
          <a:solidFill>
            <a:srgbClr val="000000"/>
          </a:solidFill>
          <a:round/>
          <a:headEnd/>
          <a:tailEnd type="arrow" w="med" len="med"/>
        </a:ln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10</xdr:row>
      <xdr:rowOff>76200</xdr:rowOff>
    </xdr:from>
    <xdr:to>
      <xdr:col>3</xdr:col>
      <xdr:colOff>190500</xdr:colOff>
      <xdr:row>20</xdr:row>
      <xdr:rowOff>161925</xdr:rowOff>
    </xdr:to>
    <xdr:sp macro="" textlink="">
      <xdr:nvSpPr>
        <xdr:cNvPr id="28677" name="Line 5">
          <a:extLst>
            <a:ext uri="{FF2B5EF4-FFF2-40B4-BE49-F238E27FC236}">
              <a16:creationId xmlns:a16="http://schemas.microsoft.com/office/drawing/2014/main" xmlns="" id="{00000000-0008-0000-0600-000005700000}"/>
            </a:ext>
          </a:extLst>
        </xdr:cNvPr>
        <xdr:cNvSpPr>
          <a:spLocks noChangeShapeType="1"/>
        </xdr:cNvSpPr>
      </xdr:nvSpPr>
      <xdr:spPr bwMode="auto">
        <a:xfrm flipV="1">
          <a:off x="2962275" y="2295525"/>
          <a:ext cx="581025" cy="1704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  <xdr:twoCellAnchor>
    <xdr:from>
      <xdr:col>1</xdr:col>
      <xdr:colOff>942980</xdr:colOff>
      <xdr:row>3</xdr:row>
      <xdr:rowOff>19050</xdr:rowOff>
    </xdr:from>
    <xdr:to>
      <xdr:col>4</xdr:col>
      <xdr:colOff>19051</xdr:colOff>
      <xdr:row>5</xdr:row>
      <xdr:rowOff>38100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CxnSpPr/>
      </xdr:nvCxnSpPr>
      <xdr:spPr bwMode="auto">
        <a:xfrm rot="10800000" flipV="1">
          <a:off x="2247905" y="904875"/>
          <a:ext cx="2181221" cy="342900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46</xdr:row>
      <xdr:rowOff>68580</xdr:rowOff>
    </xdr:from>
    <xdr:to>
      <xdr:col>9</xdr:col>
      <xdr:colOff>544830</xdr:colOff>
      <xdr:row>65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8F6848DB-01DB-428E-8B09-19EDF8B92D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</xdr:colOff>
      <xdr:row>46</xdr:row>
      <xdr:rowOff>68580</xdr:rowOff>
    </xdr:from>
    <xdr:to>
      <xdr:col>9</xdr:col>
      <xdr:colOff>544830</xdr:colOff>
      <xdr:row>65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xmlns="" id="{4BAC2B9B-3491-48AD-B149-A3BEC28342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247650</xdr:colOff>
      <xdr:row>20</xdr:row>
      <xdr:rowOff>66675</xdr:rowOff>
    </xdr:from>
    <xdr:to>
      <xdr:col>4</xdr:col>
      <xdr:colOff>466725</xdr:colOff>
      <xdr:row>37</xdr:row>
      <xdr:rowOff>85725</xdr:rowOff>
    </xdr:to>
    <xdr:graphicFrame macro="">
      <xdr:nvGraphicFramePr>
        <xdr:cNvPr id="8202" name="Chart 2">
          <a:extLst>
            <a:ext uri="{FF2B5EF4-FFF2-40B4-BE49-F238E27FC236}">
              <a16:creationId xmlns:a16="http://schemas.microsoft.com/office/drawing/2014/main" xmlns="" id="{00000000-0008-0000-1200-00000A2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352425</xdr:colOff>
      <xdr:row>5</xdr:row>
      <xdr:rowOff>0</xdr:rowOff>
    </xdr:from>
    <xdr:to>
      <xdr:col>7</xdr:col>
      <xdr:colOff>485775</xdr:colOff>
      <xdr:row>5</xdr:row>
      <xdr:rowOff>0</xdr:rowOff>
    </xdr:to>
    <xdr:sp macro="" textlink="">
      <xdr:nvSpPr>
        <xdr:cNvPr id="9302" name="Line 1">
          <a:extLst>
            <a:ext uri="{FF2B5EF4-FFF2-40B4-BE49-F238E27FC236}">
              <a16:creationId xmlns:a16="http://schemas.microsoft.com/office/drawing/2014/main" xmlns="" id="{00000000-0008-0000-1400-000056240000}"/>
            </a:ext>
          </a:extLst>
        </xdr:cNvPr>
        <xdr:cNvSpPr>
          <a:spLocks noChangeShapeType="1"/>
        </xdr:cNvSpPr>
      </xdr:nvSpPr>
      <xdr:spPr bwMode="auto">
        <a:xfrm>
          <a:off x="962025" y="647700"/>
          <a:ext cx="440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304800</xdr:colOff>
      <xdr:row>4</xdr:row>
      <xdr:rowOff>95250</xdr:rowOff>
    </xdr:from>
    <xdr:to>
      <xdr:col>1</xdr:col>
      <xdr:colOff>304800</xdr:colOff>
      <xdr:row>5</xdr:row>
      <xdr:rowOff>76200</xdr:rowOff>
    </xdr:to>
    <xdr:sp macro="" textlink="">
      <xdr:nvSpPr>
        <xdr:cNvPr id="9303" name="Line 2">
          <a:extLst>
            <a:ext uri="{FF2B5EF4-FFF2-40B4-BE49-F238E27FC236}">
              <a16:creationId xmlns:a16="http://schemas.microsoft.com/office/drawing/2014/main" xmlns="" id="{00000000-0008-0000-1400-000057240000}"/>
            </a:ext>
          </a:extLst>
        </xdr:cNvPr>
        <xdr:cNvSpPr>
          <a:spLocks noChangeShapeType="1"/>
        </xdr:cNvSpPr>
      </xdr:nvSpPr>
      <xdr:spPr bwMode="auto">
        <a:xfrm>
          <a:off x="1524000" y="58102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304800</xdr:colOff>
      <xdr:row>4</xdr:row>
      <xdr:rowOff>95250</xdr:rowOff>
    </xdr:from>
    <xdr:to>
      <xdr:col>7</xdr:col>
      <xdr:colOff>304800</xdr:colOff>
      <xdr:row>5</xdr:row>
      <xdr:rowOff>57150</xdr:rowOff>
    </xdr:to>
    <xdr:sp macro="" textlink="">
      <xdr:nvSpPr>
        <xdr:cNvPr id="9304" name="Line 3">
          <a:extLst>
            <a:ext uri="{FF2B5EF4-FFF2-40B4-BE49-F238E27FC236}">
              <a16:creationId xmlns:a16="http://schemas.microsoft.com/office/drawing/2014/main" xmlns="" id="{00000000-0008-0000-1400-000058240000}"/>
            </a:ext>
          </a:extLst>
        </xdr:cNvPr>
        <xdr:cNvSpPr>
          <a:spLocks noChangeShapeType="1"/>
        </xdr:cNvSpPr>
      </xdr:nvSpPr>
      <xdr:spPr bwMode="auto">
        <a:xfrm>
          <a:off x="5181600" y="581025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342900</xdr:colOff>
      <xdr:row>15</xdr:row>
      <xdr:rowOff>0</xdr:rowOff>
    </xdr:from>
    <xdr:to>
      <xdr:col>7</xdr:col>
      <xdr:colOff>476250</xdr:colOff>
      <xdr:row>15</xdr:row>
      <xdr:rowOff>0</xdr:rowOff>
    </xdr:to>
    <xdr:sp macro="" textlink="">
      <xdr:nvSpPr>
        <xdr:cNvPr id="9307" name="Line 8">
          <a:extLst>
            <a:ext uri="{FF2B5EF4-FFF2-40B4-BE49-F238E27FC236}">
              <a16:creationId xmlns:a16="http://schemas.microsoft.com/office/drawing/2014/main" xmlns="" id="{00000000-0008-0000-1400-00005B240000}"/>
            </a:ext>
          </a:extLst>
        </xdr:cNvPr>
        <xdr:cNvSpPr>
          <a:spLocks noChangeShapeType="1"/>
        </xdr:cNvSpPr>
      </xdr:nvSpPr>
      <xdr:spPr bwMode="auto">
        <a:xfrm>
          <a:off x="952500" y="2305050"/>
          <a:ext cx="440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</xdr:col>
      <xdr:colOff>285750</xdr:colOff>
      <xdr:row>14</xdr:row>
      <xdr:rowOff>95250</xdr:rowOff>
    </xdr:from>
    <xdr:to>
      <xdr:col>1</xdr:col>
      <xdr:colOff>285750</xdr:colOff>
      <xdr:row>15</xdr:row>
      <xdr:rowOff>76200</xdr:rowOff>
    </xdr:to>
    <xdr:sp macro="" textlink="">
      <xdr:nvSpPr>
        <xdr:cNvPr id="9308" name="Line 9">
          <a:extLst>
            <a:ext uri="{FF2B5EF4-FFF2-40B4-BE49-F238E27FC236}">
              <a16:creationId xmlns:a16="http://schemas.microsoft.com/office/drawing/2014/main" xmlns="" id="{00000000-0008-0000-1400-00005C240000}"/>
            </a:ext>
          </a:extLst>
        </xdr:cNvPr>
        <xdr:cNvSpPr>
          <a:spLocks noChangeShapeType="1"/>
        </xdr:cNvSpPr>
      </xdr:nvSpPr>
      <xdr:spPr bwMode="auto">
        <a:xfrm>
          <a:off x="1504950" y="2238375"/>
          <a:ext cx="0" cy="1428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7</xdr:col>
      <xdr:colOff>304800</xdr:colOff>
      <xdr:row>14</xdr:row>
      <xdr:rowOff>104775</xdr:rowOff>
    </xdr:from>
    <xdr:to>
      <xdr:col>7</xdr:col>
      <xdr:colOff>304800</xdr:colOff>
      <xdr:row>15</xdr:row>
      <xdr:rowOff>66675</xdr:rowOff>
    </xdr:to>
    <xdr:sp macro="" textlink="">
      <xdr:nvSpPr>
        <xdr:cNvPr id="9309" name="Line 10">
          <a:extLst>
            <a:ext uri="{FF2B5EF4-FFF2-40B4-BE49-F238E27FC236}">
              <a16:creationId xmlns:a16="http://schemas.microsoft.com/office/drawing/2014/main" xmlns="" id="{00000000-0008-0000-1400-00005D240000}"/>
            </a:ext>
          </a:extLst>
        </xdr:cNvPr>
        <xdr:cNvSpPr>
          <a:spLocks noChangeShapeType="1"/>
        </xdr:cNvSpPr>
      </xdr:nvSpPr>
      <xdr:spPr bwMode="auto">
        <a:xfrm>
          <a:off x="5181600" y="2247900"/>
          <a:ext cx="0" cy="1238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263338</xdr:colOff>
      <xdr:row>6</xdr:row>
      <xdr:rowOff>84045</xdr:rowOff>
    </xdr:from>
    <xdr:to>
      <xdr:col>6</xdr:col>
      <xdr:colOff>549088</xdr:colOff>
      <xdr:row>6</xdr:row>
      <xdr:rowOff>85633</xdr:rowOff>
    </xdr:to>
    <xdr:cxnSp macro="">
      <xdr:nvCxnSpPr>
        <xdr:cNvPr id="13" name="Straight Arrow Connector 12">
          <a:extLst>
            <a:ext uri="{FF2B5EF4-FFF2-40B4-BE49-F238E27FC236}">
              <a16:creationId xmlns:a16="http://schemas.microsoft.com/office/drawing/2014/main" xmlns="" id="{00000000-0008-0000-1400-00000D000000}"/>
            </a:ext>
          </a:extLst>
        </xdr:cNvPr>
        <xdr:cNvCxnSpPr/>
      </xdr:nvCxnSpPr>
      <xdr:spPr bwMode="auto">
        <a:xfrm>
          <a:off x="2095500" y="896471"/>
          <a:ext cx="2728632" cy="158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2</xdr:col>
      <xdr:colOff>296956</xdr:colOff>
      <xdr:row>9</xdr:row>
      <xdr:rowOff>84044</xdr:rowOff>
    </xdr:from>
    <xdr:to>
      <xdr:col>6</xdr:col>
      <xdr:colOff>521076</xdr:colOff>
      <xdr:row>9</xdr:row>
      <xdr:rowOff>84046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xmlns="" id="{00000000-0008-0000-1400-00000F000000}"/>
            </a:ext>
          </a:extLst>
        </xdr:cNvPr>
        <xdr:cNvCxnSpPr/>
      </xdr:nvCxnSpPr>
      <xdr:spPr bwMode="auto">
        <a:xfrm rot="10800000">
          <a:off x="2129118" y="1400735"/>
          <a:ext cx="2667002" cy="2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2</xdr:col>
      <xdr:colOff>263338</xdr:colOff>
      <xdr:row>16</xdr:row>
      <xdr:rowOff>84045</xdr:rowOff>
    </xdr:from>
    <xdr:to>
      <xdr:col>6</xdr:col>
      <xdr:colOff>549088</xdr:colOff>
      <xdr:row>16</xdr:row>
      <xdr:rowOff>85633</xdr:rowOff>
    </xdr:to>
    <xdr:cxnSp macro="">
      <xdr:nvCxnSpPr>
        <xdr:cNvPr id="17" name="Straight Arrow Connector 16">
          <a:extLst>
            <a:ext uri="{FF2B5EF4-FFF2-40B4-BE49-F238E27FC236}">
              <a16:creationId xmlns:a16="http://schemas.microsoft.com/office/drawing/2014/main" xmlns="" id="{00000000-0008-0000-1400-000011000000}"/>
            </a:ext>
          </a:extLst>
        </xdr:cNvPr>
        <xdr:cNvCxnSpPr/>
      </xdr:nvCxnSpPr>
      <xdr:spPr bwMode="auto">
        <a:xfrm>
          <a:off x="2095500" y="896471"/>
          <a:ext cx="2728632" cy="1588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  <xdr:twoCellAnchor>
    <xdr:from>
      <xdr:col>2</xdr:col>
      <xdr:colOff>296956</xdr:colOff>
      <xdr:row>19</xdr:row>
      <xdr:rowOff>84044</xdr:rowOff>
    </xdr:from>
    <xdr:to>
      <xdr:col>6</xdr:col>
      <xdr:colOff>521076</xdr:colOff>
      <xdr:row>19</xdr:row>
      <xdr:rowOff>84046</xdr:rowOff>
    </xdr:to>
    <xdr:cxnSp macro="">
      <xdr:nvCxnSpPr>
        <xdr:cNvPr id="18" name="Straight Arrow Connector 17">
          <a:extLst>
            <a:ext uri="{FF2B5EF4-FFF2-40B4-BE49-F238E27FC236}">
              <a16:creationId xmlns:a16="http://schemas.microsoft.com/office/drawing/2014/main" xmlns="" id="{00000000-0008-0000-1400-000012000000}"/>
            </a:ext>
          </a:extLst>
        </xdr:cNvPr>
        <xdr:cNvCxnSpPr/>
      </xdr:nvCxnSpPr>
      <xdr:spPr bwMode="auto">
        <a:xfrm rot="10800000">
          <a:off x="2129118" y="1400735"/>
          <a:ext cx="2667002" cy="2"/>
        </a:xfrm>
        <a:prstGeom prst="straightConnector1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arrow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sqref="A1:B1"/>
    </sheetView>
  </sheetViews>
  <sheetFormatPr defaultRowHeight="12.75" x14ac:dyDescent="0.2"/>
  <cols>
    <col min="1" max="1" width="23.85546875" bestFit="1" customWidth="1"/>
    <col min="2" max="2" width="53.140625" bestFit="1" customWidth="1"/>
  </cols>
  <sheetData>
    <row r="1" spans="1:2" ht="15" x14ac:dyDescent="0.25">
      <c r="A1" s="95" t="s">
        <v>194</v>
      </c>
      <c r="B1" s="95"/>
    </row>
    <row r="2" spans="1:2" x14ac:dyDescent="0.2">
      <c r="A2" s="7" t="s">
        <v>146</v>
      </c>
      <c r="B2" s="7" t="s">
        <v>147</v>
      </c>
    </row>
    <row r="3" spans="1:2" x14ac:dyDescent="0.2">
      <c r="A3" s="87" t="s">
        <v>148</v>
      </c>
      <c r="B3" t="str">
        <f ca="1">INDIRECT(ADDRESS(1,1,1,1,A3))</f>
        <v>CHEAPER LOAN:  WEST HAMPTON 
OR EAST HAMPTON?</v>
      </c>
    </row>
    <row r="4" spans="1:2" x14ac:dyDescent="0.2">
      <c r="A4" s="87" t="s">
        <v>172</v>
      </c>
      <c r="B4" t="str">
        <f t="shared" ref="B4:B24" ca="1" si="0">INDIRECT(ADDRESS(1,1,1,1,A4))</f>
        <v>HOW LOAN SHARK CHARGES:
14.4% PER YEAR ON A MONTHLY BASIS = 1.2% PER MONTH</v>
      </c>
    </row>
    <row r="5" spans="1:2" x14ac:dyDescent="0.2">
      <c r="A5" s="87" t="s">
        <v>173</v>
      </c>
      <c r="B5" t="str">
        <f t="shared" ca="1" si="0"/>
        <v>THE BANK OR LOAN SHARK?</v>
      </c>
    </row>
    <row r="6" spans="1:2" x14ac:dyDescent="0.2">
      <c r="A6" s="87" t="s">
        <v>174</v>
      </c>
      <c r="B6" t="str">
        <f t="shared" ca="1" si="0"/>
        <v>FINANCING THE JUNKMOBILE</v>
      </c>
    </row>
    <row r="7" spans="1:2" x14ac:dyDescent="0.2">
      <c r="A7" s="87" t="s">
        <v>175</v>
      </c>
      <c r="B7" t="str">
        <f t="shared" ca="1" si="0"/>
        <v>A SIMPLE MORTGAGE</v>
      </c>
    </row>
    <row r="8" spans="1:2" x14ac:dyDescent="0.2">
      <c r="A8" s="87" t="s">
        <v>176</v>
      </c>
      <c r="B8" t="str">
        <f t="shared" ca="1" si="0"/>
        <v>A MORTGAGE WITH POINTS</v>
      </c>
    </row>
    <row r="9" spans="1:2" x14ac:dyDescent="0.2">
      <c r="A9" s="87" t="s">
        <v>177</v>
      </c>
      <c r="B9" t="str">
        <f t="shared" ca="1" si="0"/>
        <v>COMPUTING THE MORTGAGE PAYMENTS 
USING IPMT AND PPMT</v>
      </c>
    </row>
    <row r="10" spans="1:2" x14ac:dyDescent="0.2">
      <c r="A10" s="87" t="s">
        <v>178</v>
      </c>
      <c r="B10" t="str">
        <f t="shared" ca="1" si="0"/>
        <v>MORTGAGE WITH MONTHLY PAYMENTS</v>
      </c>
    </row>
    <row r="11" spans="1:2" x14ac:dyDescent="0.2">
      <c r="A11" s="87" t="s">
        <v>179</v>
      </c>
      <c r="B11" t="str">
        <f t="shared" ca="1" si="0"/>
        <v>MORTGAGE EXAMPLE WITH POINTS AND ORIGINATION FEE</v>
      </c>
    </row>
    <row r="12" spans="1:2" x14ac:dyDescent="0.2">
      <c r="A12" s="87" t="s">
        <v>180</v>
      </c>
      <c r="B12" t="str">
        <f t="shared" ca="1" si="0"/>
        <v>30-YEAR MORTGAGE
With points and origination fee</v>
      </c>
    </row>
    <row r="13" spans="1:2" x14ac:dyDescent="0.2">
      <c r="A13" s="87" t="s">
        <v>181</v>
      </c>
      <c r="B13" t="str">
        <f t="shared" ca="1" si="0"/>
        <v>BASIC LEASE VERSUS PURCHASE</v>
      </c>
    </row>
    <row r="14" spans="1:2" x14ac:dyDescent="0.2">
      <c r="A14" s="87" t="s">
        <v>182</v>
      </c>
      <c r="B14" t="str">
        <f t="shared" ca="1" si="0"/>
        <v>BASIC LEASE VERSUS PURCHASE
THE DIFFERENTIAL CASH FLOWS</v>
      </c>
    </row>
    <row r="15" spans="1:2" x14ac:dyDescent="0.2">
      <c r="A15" s="87" t="s">
        <v>183</v>
      </c>
      <c r="B15" t="str">
        <f t="shared" ca="1" si="0"/>
        <v>LEASE VERSUS PURCHASE WITH RESIDUAL VALUE</v>
      </c>
    </row>
    <row r="16" spans="1:2" x14ac:dyDescent="0.2">
      <c r="A16" s="87" t="s">
        <v>184</v>
      </c>
      <c r="B16" t="str">
        <f t="shared" ca="1" si="0"/>
        <v>ANALYZING A CAR LEASE</v>
      </c>
    </row>
    <row r="17" spans="1:2" x14ac:dyDescent="0.2">
      <c r="A17" s="87" t="s">
        <v>185</v>
      </c>
      <c r="B17" t="str">
        <f t="shared" ca="1" si="0"/>
        <v>DETERMINING THE BREAKEVEN ESTINATED TERMINAL VALUE</v>
      </c>
    </row>
    <row r="18" spans="1:2" x14ac:dyDescent="0.2">
      <c r="A18" s="87" t="s">
        <v>186</v>
      </c>
      <c r="B18" t="str">
        <f t="shared" ca="1" si="0"/>
        <v>MONTHLY COMPOUNDING OF CREDIT CARD BALANCES</v>
      </c>
    </row>
    <row r="19" spans="1:2" x14ac:dyDescent="0.2">
      <c r="A19" s="87" t="s">
        <v>187</v>
      </c>
      <c r="B19" t="str">
        <f t="shared" ca="1" si="0"/>
        <v>EAIR AND NUMBER OF COMPOUNDING PERIODS</v>
      </c>
    </row>
    <row r="20" spans="1:2" x14ac:dyDescent="0.2">
      <c r="A20" s="87" t="s">
        <v>188</v>
      </c>
      <c r="B20" t="str">
        <f t="shared" ca="1" si="0"/>
        <v>CONTINUOUS COMPOUNDING</v>
      </c>
    </row>
    <row r="21" spans="1:2" x14ac:dyDescent="0.2">
      <c r="A21" s="87" t="s">
        <v>189</v>
      </c>
      <c r="B21" t="str">
        <f t="shared" ca="1" si="0"/>
        <v>DISCRETE AND CONTINIOUS COUMPOUNDING DRAWINGS</v>
      </c>
    </row>
    <row r="22" spans="1:2" x14ac:dyDescent="0.2">
      <c r="A22" s="87" t="s">
        <v>190</v>
      </c>
      <c r="B22" t="str">
        <f t="shared" ca="1" si="0"/>
        <v>DISCRETE AND CONTINUOUS COMPOUNDING</v>
      </c>
    </row>
    <row r="23" spans="1:2" x14ac:dyDescent="0.2">
      <c r="A23" s="87" t="s">
        <v>191</v>
      </c>
      <c r="B23" t="str">
        <f t="shared" ca="1" si="0"/>
        <v>WE TEACH YOU BEST UNIVERSITY</v>
      </c>
    </row>
    <row r="24" spans="1:2" x14ac:dyDescent="0.2">
      <c r="A24" s="87" t="s">
        <v>192</v>
      </c>
      <c r="B24" t="str">
        <f t="shared" ca="1" si="0"/>
        <v>COMPUTING DISCRETE AND CONTINUOUS RETURNS</v>
      </c>
    </row>
  </sheetData>
  <mergeCells count="1">
    <mergeCell ref="A1:B1"/>
  </mergeCells>
  <hyperlinks>
    <hyperlink ref="A3" location="'Page 138'!A1" display="'Page 138'!A1"/>
    <hyperlink ref="A4" location="'Page 140'!A1" display="Page 140'!A1"/>
    <hyperlink ref="A5" location="'Page 141'!A1" display="'Page 141'!A1"/>
    <hyperlink ref="A6" location="'Page 142'!A1" display="'Page 142'!A1"/>
    <hyperlink ref="A7" location="'Page 144'!A1" display="'Page 144'!A1"/>
    <hyperlink ref="A8" location="'Page 145+146'!A1" display="'Page 145+146'!A1"/>
    <hyperlink ref="A9" location="'Page 147'!A1" display="'Page 147'!A1"/>
    <hyperlink ref="A10" location="'Page 149'!A1" display="'Page 149'!A1"/>
    <hyperlink ref="A11" location="'Page 150'!A1" display="'Page 150'!A1"/>
    <hyperlink ref="A12" location="'Page 152'!A1" display="'Page 152'!A1"/>
    <hyperlink ref="A13" location="'Page 153'!A1" display="'Page 153'!A1"/>
    <hyperlink ref="A14" location="'Page 153 bottom + page 154'!A1" display="'Page 153 bottom + page 154'!A1"/>
    <hyperlink ref="A15" location="'Page 155'!A1" display="'Page 155'!A1"/>
    <hyperlink ref="A16" location="'Page 158'!A1" display="'Page 158'!A1"/>
    <hyperlink ref="A17" location="'Page 160'!A1" display="'Page 160'!A1"/>
    <hyperlink ref="A18" location="'Page 161'!A1" display="'Page 161'!A1"/>
    <hyperlink ref="A19" location="'Page 164'!A1" display="'Page 164'!A1"/>
    <hyperlink ref="A20" location="'Page 165'!A1" display="'Page 165'!A1"/>
    <hyperlink ref="A21" location="'Pages 165+166, drawings'!A1" display="'Pages 165+166, drawings'!A1"/>
    <hyperlink ref="A22" location="'Page 166'!A1" display="'Page 166'!A1"/>
    <hyperlink ref="A23" location="'Page 167'!A1" display="'Page 167'!A1"/>
    <hyperlink ref="A24" location="'Page 168'!A1" display="'Page 168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D10"/>
  <sheetViews>
    <sheetView workbookViewId="0">
      <selection sqref="A1:D1"/>
    </sheetView>
  </sheetViews>
  <sheetFormatPr defaultRowHeight="12.75" x14ac:dyDescent="0.2"/>
  <cols>
    <col min="1" max="1" width="24.7109375" customWidth="1"/>
    <col min="2" max="2" width="12.7109375" customWidth="1"/>
    <col min="3" max="3" width="13.7109375" customWidth="1"/>
    <col min="4" max="4" width="14.28515625" bestFit="1" customWidth="1"/>
  </cols>
  <sheetData>
    <row r="1" spans="1:4" ht="37.5" customHeight="1" x14ac:dyDescent="0.2">
      <c r="A1" s="96" t="s">
        <v>78</v>
      </c>
      <c r="B1" s="96"/>
      <c r="C1" s="96"/>
      <c r="D1" s="96"/>
    </row>
    <row r="2" spans="1:4" ht="25.5" x14ac:dyDescent="0.2">
      <c r="B2" s="16" t="s">
        <v>74</v>
      </c>
      <c r="C2" s="16" t="s">
        <v>75</v>
      </c>
    </row>
    <row r="3" spans="1:4" x14ac:dyDescent="0.2">
      <c r="A3" t="s">
        <v>2</v>
      </c>
      <c r="B3" s="2">
        <v>0.08</v>
      </c>
      <c r="C3" s="2">
        <v>0.06</v>
      </c>
    </row>
    <row r="4" spans="1:4" x14ac:dyDescent="0.2">
      <c r="A4" t="s">
        <v>76</v>
      </c>
      <c r="B4" s="2">
        <v>0</v>
      </c>
      <c r="C4" s="2">
        <v>0.04</v>
      </c>
    </row>
    <row r="5" spans="1:4" ht="25.5" x14ac:dyDescent="0.2">
      <c r="A5" s="20" t="s">
        <v>77</v>
      </c>
      <c r="B5" s="15">
        <f>100/(1-B4)</f>
        <v>100</v>
      </c>
      <c r="C5" s="15">
        <f>100/(1-C4)</f>
        <v>104.16666666666667</v>
      </c>
      <c r="D5" t="e">
        <f ca="1">"&lt;-- "&amp;_xlfn.FORMULATEXT(C5)</f>
        <v>#NAME?</v>
      </c>
    </row>
    <row r="7" spans="1:4" x14ac:dyDescent="0.2">
      <c r="A7" s="6" t="s">
        <v>73</v>
      </c>
      <c r="B7" s="6" t="s">
        <v>4</v>
      </c>
      <c r="C7" s="6" t="s">
        <v>4</v>
      </c>
    </row>
    <row r="8" spans="1:4" x14ac:dyDescent="0.2">
      <c r="A8" s="5" t="s">
        <v>79</v>
      </c>
      <c r="B8" s="15">
        <f>B5</f>
        <v>100</v>
      </c>
      <c r="C8" s="15">
        <f>C5*(1-C4)</f>
        <v>100</v>
      </c>
    </row>
    <row r="9" spans="1:4" x14ac:dyDescent="0.2">
      <c r="A9" s="5" t="s">
        <v>80</v>
      </c>
      <c r="B9" s="15">
        <v>-108</v>
      </c>
      <c r="C9" s="15">
        <f>-C5*(1+C3)</f>
        <v>-110.41666666666667</v>
      </c>
      <c r="D9" t="e">
        <f ca="1">"&lt;-- "&amp;_xlfn.FORMULATEXT(C9)</f>
        <v>#NAME?</v>
      </c>
    </row>
    <row r="10" spans="1:4" ht="25.5" x14ac:dyDescent="0.2">
      <c r="A10" s="29" t="s">
        <v>81</v>
      </c>
      <c r="B10" s="52">
        <f>IRR(B8:B9)</f>
        <v>8.0000000000000071E-2</v>
      </c>
      <c r="C10" s="52">
        <f>IRR(C8:C9)</f>
        <v>0.10416666666666674</v>
      </c>
      <c r="D10" t="e">
        <f ca="1">"&lt;-- "&amp;_xlfn.FORMULATEXT(C10)</f>
        <v>#NAME?</v>
      </c>
    </row>
  </sheetData>
  <mergeCells count="1">
    <mergeCell ref="A1:D1"/>
  </mergeCells>
  <phoneticPr fontId="8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19"/>
  <sheetViews>
    <sheetView workbookViewId="0">
      <selection sqref="A1:H1"/>
    </sheetView>
  </sheetViews>
  <sheetFormatPr defaultRowHeight="12.75" x14ac:dyDescent="0.2"/>
  <cols>
    <col min="1" max="15" width="16.85546875" customWidth="1"/>
  </cols>
  <sheetData>
    <row r="1" spans="1:14" ht="39.75" customHeight="1" x14ac:dyDescent="0.25">
      <c r="A1" s="96" t="s">
        <v>90</v>
      </c>
      <c r="B1" s="96"/>
      <c r="C1" s="96"/>
      <c r="D1" s="96"/>
      <c r="E1" s="96"/>
      <c r="F1" s="96"/>
      <c r="G1" s="96"/>
      <c r="H1" s="96"/>
      <c r="I1" s="56"/>
      <c r="J1" s="56"/>
      <c r="K1" s="56"/>
      <c r="L1" s="56"/>
      <c r="M1" s="56"/>
      <c r="N1" s="56"/>
    </row>
    <row r="3" spans="1:14" ht="15.75" x14ac:dyDescent="0.25">
      <c r="A3" s="8" t="s">
        <v>103</v>
      </c>
    </row>
    <row r="4" spans="1:14" x14ac:dyDescent="0.2">
      <c r="A4" s="6" t="s">
        <v>63</v>
      </c>
      <c r="B4" s="6" t="s">
        <v>91</v>
      </c>
      <c r="C4" s="6" t="s">
        <v>92</v>
      </c>
      <c r="D4" s="6" t="s">
        <v>93</v>
      </c>
      <c r="E4" s="6" t="s">
        <v>94</v>
      </c>
      <c r="F4" s="6" t="s">
        <v>95</v>
      </c>
      <c r="G4" s="6" t="s">
        <v>96</v>
      </c>
    </row>
    <row r="5" spans="1:14" x14ac:dyDescent="0.2">
      <c r="A5" s="57">
        <v>1000</v>
      </c>
      <c r="B5" s="58"/>
      <c r="C5" s="58"/>
      <c r="D5" s="58"/>
      <c r="E5" s="58"/>
      <c r="F5" s="58"/>
      <c r="G5" s="58"/>
    </row>
    <row r="6" spans="1:14" x14ac:dyDescent="0.2">
      <c r="A6" s="58"/>
      <c r="B6" s="57">
        <f>A5*(1+1.2%)</f>
        <v>1012</v>
      </c>
      <c r="C6" s="58" t="e">
        <f ca="1">"&lt;-- "&amp;_xlfn.FORMULATEXT(B6)</f>
        <v>#NAME?</v>
      </c>
      <c r="D6" s="58"/>
      <c r="E6" s="58"/>
      <c r="F6" s="58"/>
      <c r="G6" s="58"/>
    </row>
    <row r="7" spans="1:14" x14ac:dyDescent="0.2">
      <c r="A7" s="58"/>
      <c r="B7" s="58"/>
      <c r="C7" s="57">
        <f>B6*(1+1.2%)</f>
        <v>1024.144</v>
      </c>
      <c r="D7" s="58" t="e">
        <f ca="1">"&lt;-- "&amp;_xlfn.FORMULATEXT(C7)</f>
        <v>#NAME?</v>
      </c>
      <c r="E7" s="58"/>
      <c r="F7" s="58"/>
      <c r="G7" s="58"/>
    </row>
    <row r="8" spans="1:14" x14ac:dyDescent="0.2">
      <c r="A8" s="58"/>
      <c r="B8" s="58"/>
      <c r="C8" s="58"/>
      <c r="D8" s="57">
        <f>C7*(1+1.2%)</f>
        <v>1036.433728</v>
      </c>
      <c r="E8" s="58" t="e">
        <f ca="1">"&lt;-- "&amp;_xlfn.FORMULATEXT(D8)</f>
        <v>#NAME?</v>
      </c>
      <c r="F8" s="58"/>
      <c r="G8" s="58"/>
    </row>
    <row r="9" spans="1:14" x14ac:dyDescent="0.2">
      <c r="A9" s="58"/>
      <c r="B9" s="58"/>
      <c r="C9" s="58"/>
      <c r="D9" s="58"/>
      <c r="E9" s="57">
        <f>D8*(1+1.2%)</f>
        <v>1048.870932736</v>
      </c>
      <c r="F9" s="58" t="e">
        <f ca="1">"&lt;-- "&amp;_xlfn.FORMULATEXT(E9)</f>
        <v>#NAME?</v>
      </c>
      <c r="G9" s="58"/>
    </row>
    <row r="10" spans="1:14" x14ac:dyDescent="0.2">
      <c r="A10" s="58"/>
      <c r="B10" s="58"/>
      <c r="C10" s="58"/>
      <c r="D10" s="58"/>
      <c r="E10" s="58"/>
      <c r="F10" s="57">
        <f>E9*(1+1.2%)</f>
        <v>1061.4573839288321</v>
      </c>
      <c r="G10" s="58" t="e">
        <f ca="1">"&lt;-- "&amp;_xlfn.FORMULATEXT(F10)</f>
        <v>#NAME?</v>
      </c>
    </row>
    <row r="11" spans="1:14" x14ac:dyDescent="0.2">
      <c r="A11" s="58"/>
      <c r="B11" s="58"/>
      <c r="C11" s="58"/>
      <c r="D11" s="58"/>
      <c r="E11" s="58"/>
      <c r="F11" s="58"/>
      <c r="G11" s="57">
        <f>F10*(1+1.2%)</f>
        <v>1074.194872535978</v>
      </c>
      <c r="H11" s="58" t="e">
        <f ca="1">"&lt;-- "&amp;_xlfn.FORMULATEXT(G11)</f>
        <v>#NAME?</v>
      </c>
    </row>
    <row r="12" spans="1:14" x14ac:dyDescent="0.2">
      <c r="A12" s="58"/>
      <c r="B12" s="58"/>
      <c r="C12" s="58"/>
      <c r="D12" s="58"/>
      <c r="E12" s="58"/>
      <c r="F12" s="58"/>
      <c r="G12" s="58"/>
    </row>
    <row r="13" spans="1:14" x14ac:dyDescent="0.2">
      <c r="A13" s="6" t="s">
        <v>97</v>
      </c>
      <c r="B13" s="6" t="s">
        <v>98</v>
      </c>
      <c r="C13" s="6" t="s">
        <v>99</v>
      </c>
      <c r="D13" s="6" t="s">
        <v>100</v>
      </c>
      <c r="E13" s="6" t="s">
        <v>101</v>
      </c>
      <c r="F13" s="6" t="s">
        <v>102</v>
      </c>
    </row>
    <row r="14" spans="1:14" x14ac:dyDescent="0.2">
      <c r="A14" s="57">
        <f>G11*(1+1.2%)</f>
        <v>1087.0852110064097</v>
      </c>
      <c r="B14" s="58" t="e">
        <f ca="1">"&lt;-- "&amp;_xlfn.FORMULATEXT(A14)</f>
        <v>#NAME?</v>
      </c>
      <c r="C14" s="58"/>
      <c r="D14" s="58"/>
      <c r="E14" s="58"/>
      <c r="F14" s="58"/>
      <c r="G14" s="58"/>
      <c r="H14" s="58"/>
    </row>
    <row r="15" spans="1:14" x14ac:dyDescent="0.2">
      <c r="A15" s="58"/>
      <c r="B15" s="57">
        <f>A14*(1+1.2%)</f>
        <v>1100.1302335384867</v>
      </c>
      <c r="C15" s="58" t="e">
        <f ca="1">"&lt;-- "&amp;_xlfn.FORMULATEXT(B15)</f>
        <v>#NAME?</v>
      </c>
      <c r="D15" s="58"/>
      <c r="E15" s="58"/>
      <c r="F15" s="58"/>
      <c r="G15" s="58"/>
      <c r="H15" s="58"/>
    </row>
    <row r="16" spans="1:14" x14ac:dyDescent="0.2">
      <c r="A16" s="58"/>
      <c r="B16" s="58"/>
      <c r="C16" s="57">
        <f>B15*(1+1.2%)</f>
        <v>1113.3317963409486</v>
      </c>
      <c r="D16" s="58" t="e">
        <f ca="1">"&lt;-- "&amp;_xlfn.FORMULATEXT(C16)</f>
        <v>#NAME?</v>
      </c>
      <c r="E16" s="58"/>
      <c r="F16" s="58"/>
      <c r="G16" s="58"/>
      <c r="H16" s="58"/>
    </row>
    <row r="17" spans="1:8" x14ac:dyDescent="0.2">
      <c r="A17" s="58"/>
      <c r="B17" s="58"/>
      <c r="C17" s="58"/>
      <c r="D17" s="57">
        <f>C16*(1+1.2%)</f>
        <v>1126.6917778970401</v>
      </c>
      <c r="E17" s="58" t="e">
        <f ca="1">"&lt;-- "&amp;_xlfn.FORMULATEXT(D17)</f>
        <v>#NAME?</v>
      </c>
      <c r="F17" s="58"/>
      <c r="G17" s="58"/>
      <c r="H17" s="58"/>
    </row>
    <row r="18" spans="1:8" x14ac:dyDescent="0.2">
      <c r="A18" s="58"/>
      <c r="B18" s="58"/>
      <c r="C18" s="58"/>
      <c r="D18" s="58"/>
      <c r="E18" s="57">
        <f>D17*(1+1.2%)</f>
        <v>1140.2120792318046</v>
      </c>
      <c r="F18" s="58" t="e">
        <f ca="1">"&lt;-- "&amp;_xlfn.FORMULATEXT(E18)</f>
        <v>#NAME?</v>
      </c>
      <c r="G18" s="58"/>
      <c r="H18" s="58"/>
    </row>
    <row r="19" spans="1:8" x14ac:dyDescent="0.2">
      <c r="A19" s="58"/>
      <c r="B19" s="58"/>
      <c r="C19" s="58"/>
      <c r="D19" s="58"/>
      <c r="E19" s="58"/>
      <c r="F19" s="57">
        <f>E18*(1+1.2%)</f>
        <v>1153.8946241825863</v>
      </c>
      <c r="G19" s="58" t="e">
        <f ca="1">"&lt;-- "&amp;_xlfn.FORMULATEXT(F19)</f>
        <v>#NAME?</v>
      </c>
      <c r="H19" s="58"/>
    </row>
  </sheetData>
  <mergeCells count="1">
    <mergeCell ref="A1:H1"/>
  </mergeCells>
  <phoneticPr fontId="8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D12"/>
  <sheetViews>
    <sheetView workbookViewId="0">
      <selection sqref="A1:D1"/>
    </sheetView>
  </sheetViews>
  <sheetFormatPr defaultRowHeight="12.75" x14ac:dyDescent="0.2"/>
  <cols>
    <col min="1" max="1" width="22.85546875" customWidth="1"/>
    <col min="2" max="2" width="13.7109375" customWidth="1"/>
    <col min="3" max="3" width="18.7109375" bestFit="1" customWidth="1"/>
    <col min="4" max="4" width="20.28515625" bestFit="1" customWidth="1"/>
  </cols>
  <sheetData>
    <row r="1" spans="1:4" ht="17.45" customHeight="1" x14ac:dyDescent="0.2">
      <c r="A1" s="96" t="s">
        <v>82</v>
      </c>
      <c r="B1" s="96"/>
      <c r="C1" s="96"/>
      <c r="D1" s="96"/>
    </row>
    <row r="2" spans="1:4" x14ac:dyDescent="0.2">
      <c r="B2" s="16" t="s">
        <v>83</v>
      </c>
      <c r="C2" s="16" t="s">
        <v>116</v>
      </c>
    </row>
    <row r="3" spans="1:4" x14ac:dyDescent="0.2">
      <c r="A3" t="s">
        <v>2</v>
      </c>
      <c r="B3" s="9">
        <v>0.15</v>
      </c>
      <c r="C3" s="9">
        <v>0.14399999999999999</v>
      </c>
    </row>
    <row r="4" spans="1:4" x14ac:dyDescent="0.2">
      <c r="A4" t="s">
        <v>87</v>
      </c>
      <c r="B4" s="71">
        <v>1000</v>
      </c>
      <c r="C4" s="71">
        <v>1000</v>
      </c>
    </row>
    <row r="5" spans="1:4" x14ac:dyDescent="0.2">
      <c r="A5" t="s">
        <v>88</v>
      </c>
      <c r="B5" s="71">
        <f>-B4*(1+B3)</f>
        <v>-1150</v>
      </c>
      <c r="C5" s="71">
        <f>-C4*(1+C3/12)^12</f>
        <v>-1153.8946241825859</v>
      </c>
      <c r="D5" t="e">
        <f ca="1">"&lt;-- "&amp;_xlfn.FORMULATEXT(C5)</f>
        <v>#NAME?</v>
      </c>
    </row>
    <row r="6" spans="1:4" ht="25.5" x14ac:dyDescent="0.2">
      <c r="A6" s="34" t="s">
        <v>89</v>
      </c>
      <c r="B6" s="12">
        <f>IRR(B4:B5)</f>
        <v>0.14999999999999991</v>
      </c>
      <c r="C6" s="32">
        <f>-C5/C4-1</f>
        <v>0.15389462418258582</v>
      </c>
      <c r="D6" t="e">
        <f ca="1">"&lt;-- "&amp;_xlfn.FORMULATEXT(C6)</f>
        <v>#NAME?</v>
      </c>
    </row>
    <row r="7" spans="1:4" x14ac:dyDescent="0.2">
      <c r="A7" s="34"/>
      <c r="B7" s="12"/>
      <c r="C7" s="41"/>
    </row>
    <row r="8" spans="1:4" ht="25.5" x14ac:dyDescent="0.2">
      <c r="A8" s="53" t="s">
        <v>107</v>
      </c>
      <c r="B8" s="12"/>
      <c r="C8" s="41"/>
    </row>
    <row r="9" spans="1:4" x14ac:dyDescent="0.2">
      <c r="A9" t="s">
        <v>44</v>
      </c>
      <c r="C9" s="41">
        <f>C3/12</f>
        <v>1.1999999999999999E-2</v>
      </c>
      <c r="D9" t="e">
        <f ca="1">"&lt;-- "&amp;_xlfn.FORMULATEXT(C9)</f>
        <v>#NAME?</v>
      </c>
    </row>
    <row r="10" spans="1:4" ht="25.5" x14ac:dyDescent="0.2">
      <c r="A10" s="55" t="s">
        <v>108</v>
      </c>
      <c r="B10" s="6"/>
      <c r="C10" s="54">
        <f>(1+C9)^12-1</f>
        <v>0.15389462418258582</v>
      </c>
      <c r="D10" t="e">
        <f ca="1">"&lt;-- "&amp;_xlfn.FORMULATEXT(C10)</f>
        <v>#NAME?</v>
      </c>
    </row>
    <row r="11" spans="1:4" x14ac:dyDescent="0.2">
      <c r="A11" s="5"/>
      <c r="B11" s="15"/>
      <c r="C11" s="15"/>
    </row>
    <row r="12" spans="1:4" x14ac:dyDescent="0.2">
      <c r="A12" s="5"/>
      <c r="B12" s="15"/>
      <c r="C12" s="15"/>
    </row>
  </sheetData>
  <mergeCells count="1">
    <mergeCell ref="A1:D1"/>
  </mergeCells>
  <phoneticPr fontId="8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E12"/>
  <sheetViews>
    <sheetView workbookViewId="0">
      <selection activeCell="C16" sqref="C16"/>
    </sheetView>
  </sheetViews>
  <sheetFormatPr defaultRowHeight="12.75" x14ac:dyDescent="0.2"/>
  <cols>
    <col min="1" max="1" width="27.140625" customWidth="1"/>
    <col min="2" max="2" width="11.5703125" bestFit="1" customWidth="1"/>
    <col min="3" max="3" width="16" bestFit="1" customWidth="1"/>
    <col min="4" max="4" width="10.140625" bestFit="1" customWidth="1"/>
    <col min="5" max="5" width="14.140625" bestFit="1" customWidth="1"/>
  </cols>
  <sheetData>
    <row r="1" spans="1:5" ht="18" x14ac:dyDescent="0.25">
      <c r="A1" s="97" t="s">
        <v>84</v>
      </c>
      <c r="B1" s="97"/>
      <c r="C1" s="97"/>
      <c r="D1" s="97"/>
      <c r="E1" s="97"/>
    </row>
    <row r="2" spans="1:5" s="69" customFormat="1" ht="38.25" x14ac:dyDescent="0.2">
      <c r="A2" s="69" t="s">
        <v>20</v>
      </c>
      <c r="B2" s="16" t="s">
        <v>125</v>
      </c>
      <c r="C2" s="16" t="s">
        <v>124</v>
      </c>
      <c r="D2" s="16" t="s">
        <v>128</v>
      </c>
    </row>
    <row r="3" spans="1:5" x14ac:dyDescent="0.2">
      <c r="A3" s="70">
        <v>0</v>
      </c>
      <c r="B3" s="1">
        <v>-1700</v>
      </c>
      <c r="C3" s="1">
        <v>0</v>
      </c>
      <c r="D3" s="1">
        <f>C3-B3</f>
        <v>1700</v>
      </c>
      <c r="E3" t="e">
        <f ca="1">"&lt;-- "&amp;_xlfn.FORMULATEXT(D3)</f>
        <v>#NAME?</v>
      </c>
    </row>
    <row r="4" spans="1:5" x14ac:dyDescent="0.2">
      <c r="A4" s="70">
        <v>1</v>
      </c>
      <c r="B4" s="1"/>
      <c r="C4" s="1">
        <v>-2000</v>
      </c>
      <c r="D4" s="1">
        <f>C4-B4</f>
        <v>-2000</v>
      </c>
      <c r="E4" t="e">
        <f ca="1">"&lt;-- "&amp;_xlfn.FORMULATEXT(D4)</f>
        <v>#NAME?</v>
      </c>
    </row>
    <row r="6" spans="1:5" ht="25.5" x14ac:dyDescent="0.2">
      <c r="A6" s="72" t="s">
        <v>126</v>
      </c>
      <c r="D6" s="73">
        <f>IRR(D3:D4)</f>
        <v>0.17647058823529438</v>
      </c>
      <c r="E6" t="e">
        <f ca="1">"&lt;-- "&amp;_xlfn.FORMULATEXT(D6)</f>
        <v>#NAME?</v>
      </c>
    </row>
    <row r="9" spans="1:5" s="69" customFormat="1" ht="38.25" x14ac:dyDescent="0.2">
      <c r="A9" s="69" t="s">
        <v>20</v>
      </c>
      <c r="B9" s="16" t="s">
        <v>127</v>
      </c>
      <c r="C9" s="16"/>
    </row>
    <row r="10" spans="1:5" x14ac:dyDescent="0.2">
      <c r="A10" s="70">
        <v>0</v>
      </c>
      <c r="B10" s="1">
        <v>1700</v>
      </c>
      <c r="C10" s="1"/>
      <c r="D10" s="1"/>
    </row>
    <row r="11" spans="1:5" x14ac:dyDescent="0.2">
      <c r="A11" s="70">
        <v>1</v>
      </c>
      <c r="B11" s="1">
        <v>-1870</v>
      </c>
      <c r="C11" s="1"/>
      <c r="D11" s="1"/>
    </row>
    <row r="12" spans="1:5" ht="38.25" x14ac:dyDescent="0.2">
      <c r="A12" s="72" t="s">
        <v>129</v>
      </c>
      <c r="B12" s="10">
        <f>IRR(B10:B11)</f>
        <v>0.10000000000000009</v>
      </c>
      <c r="C12" t="e">
        <f ca="1">"&lt;-- "&amp;_xlfn.FORMULATEXT(B12)</f>
        <v>#NAME?</v>
      </c>
    </row>
  </sheetData>
  <mergeCells count="1">
    <mergeCell ref="A1:E1"/>
  </mergeCells>
  <printOptions headings="1" gridLines="1"/>
  <pageMargins left="0.7" right="0.7" top="0.75" bottom="0.75" header="0.3" footer="0.3"/>
  <pageSetup orientation="portrait" verticalDpi="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I20"/>
  <sheetViews>
    <sheetView workbookViewId="0">
      <selection sqref="A1:C1"/>
    </sheetView>
  </sheetViews>
  <sheetFormatPr defaultRowHeight="12.75" x14ac:dyDescent="0.2"/>
  <cols>
    <col min="1" max="1" width="18.7109375" style="5" customWidth="1"/>
    <col min="2" max="2" width="14.28515625" customWidth="1"/>
    <col min="3" max="3" width="18.85546875" bestFit="1" customWidth="1"/>
    <col min="4" max="4" width="15.85546875" customWidth="1"/>
    <col min="5" max="5" width="17.7109375" customWidth="1"/>
    <col min="6" max="6" width="16.28515625" customWidth="1"/>
    <col min="7" max="7" width="13.7109375" customWidth="1"/>
    <col min="8" max="8" width="16.28515625" customWidth="1"/>
    <col min="9" max="9" width="16.28515625" style="4" customWidth="1"/>
  </cols>
  <sheetData>
    <row r="1" spans="1:4" ht="18" x14ac:dyDescent="0.25">
      <c r="A1" s="97" t="s">
        <v>40</v>
      </c>
      <c r="B1" s="97"/>
      <c r="C1" s="97"/>
    </row>
    <row r="2" spans="1:4" x14ac:dyDescent="0.2">
      <c r="A2" s="17" t="s">
        <v>18</v>
      </c>
      <c r="B2" s="1">
        <v>100000</v>
      </c>
    </row>
    <row r="3" spans="1:4" x14ac:dyDescent="0.2">
      <c r="A3" s="17" t="s">
        <v>19</v>
      </c>
      <c r="B3" s="2">
        <v>0.08</v>
      </c>
    </row>
    <row r="4" spans="1:4" x14ac:dyDescent="0.2">
      <c r="A4" s="17" t="s">
        <v>86</v>
      </c>
      <c r="B4" s="27">
        <v>10</v>
      </c>
    </row>
    <row r="5" spans="1:4" x14ac:dyDescent="0.2">
      <c r="A5" s="17" t="s">
        <v>35</v>
      </c>
      <c r="B5" s="4">
        <f>PMT(B3,B4,-B2)</f>
        <v>14902.948869707541</v>
      </c>
      <c r="C5" t="e">
        <f ca="1">"&lt;-- "&amp;_xlfn.FORMULATEXT(B5)</f>
        <v>#NAME?</v>
      </c>
    </row>
    <row r="6" spans="1:4" x14ac:dyDescent="0.2">
      <c r="A6" s="17"/>
      <c r="B6" s="27"/>
    </row>
    <row r="7" spans="1:4" s="6" customFormat="1" ht="25.5" x14ac:dyDescent="0.2">
      <c r="A7" s="6" t="s">
        <v>20</v>
      </c>
      <c r="B7" s="28" t="s">
        <v>39</v>
      </c>
      <c r="D7" s="16"/>
    </row>
    <row r="8" spans="1:4" x14ac:dyDescent="0.2">
      <c r="A8" s="5">
        <v>0</v>
      </c>
      <c r="B8" s="4">
        <f>B2</f>
        <v>100000</v>
      </c>
      <c r="D8" s="4"/>
    </row>
    <row r="9" spans="1:4" x14ac:dyDescent="0.2">
      <c r="A9" s="5">
        <v>1</v>
      </c>
      <c r="B9" s="4">
        <f>-$B$5</f>
        <v>-14902.948869707541</v>
      </c>
      <c r="C9" t="e">
        <f ca="1">"&lt;-- "&amp;_xlfn.FORMULATEXT(B9)</f>
        <v>#NAME?</v>
      </c>
      <c r="D9" s="4"/>
    </row>
    <row r="10" spans="1:4" x14ac:dyDescent="0.2">
      <c r="A10" s="5">
        <v>2</v>
      </c>
      <c r="B10" s="4">
        <f t="shared" ref="B10:B18" si="0">-$B$5</f>
        <v>-14902.948869707541</v>
      </c>
      <c r="D10" s="4"/>
    </row>
    <row r="11" spans="1:4" x14ac:dyDescent="0.2">
      <c r="A11" s="5">
        <v>3</v>
      </c>
      <c r="B11" s="4">
        <f t="shared" si="0"/>
        <v>-14902.948869707541</v>
      </c>
      <c r="D11" s="4"/>
    </row>
    <row r="12" spans="1:4" x14ac:dyDescent="0.2">
      <c r="A12" s="5">
        <v>4</v>
      </c>
      <c r="B12" s="4">
        <f t="shared" si="0"/>
        <v>-14902.948869707541</v>
      </c>
      <c r="D12" s="4"/>
    </row>
    <row r="13" spans="1:4" x14ac:dyDescent="0.2">
      <c r="A13" s="5">
        <v>5</v>
      </c>
      <c r="B13" s="4">
        <f t="shared" si="0"/>
        <v>-14902.948869707541</v>
      </c>
      <c r="D13" s="4"/>
    </row>
    <row r="14" spans="1:4" x14ac:dyDescent="0.2">
      <c r="A14" s="5">
        <v>6</v>
      </c>
      <c r="B14" s="4">
        <f t="shared" si="0"/>
        <v>-14902.948869707541</v>
      </c>
      <c r="D14" s="4"/>
    </row>
    <row r="15" spans="1:4" x14ac:dyDescent="0.2">
      <c r="A15" s="5">
        <v>7</v>
      </c>
      <c r="B15" s="4">
        <f t="shared" si="0"/>
        <v>-14902.948869707541</v>
      </c>
      <c r="D15" s="4"/>
    </row>
    <row r="16" spans="1:4" x14ac:dyDescent="0.2">
      <c r="A16" s="5">
        <v>8</v>
      </c>
      <c r="B16" s="4">
        <f t="shared" si="0"/>
        <v>-14902.948869707541</v>
      </c>
      <c r="D16" s="4"/>
    </row>
    <row r="17" spans="1:5" x14ac:dyDescent="0.2">
      <c r="A17" s="5">
        <v>9</v>
      </c>
      <c r="B17" s="4">
        <f t="shared" si="0"/>
        <v>-14902.948869707541</v>
      </c>
      <c r="D17" s="4"/>
    </row>
    <row r="18" spans="1:5" x14ac:dyDescent="0.2">
      <c r="A18" s="5">
        <v>10</v>
      </c>
      <c r="B18" s="4">
        <f t="shared" si="0"/>
        <v>-14902.948869707541</v>
      </c>
    </row>
    <row r="19" spans="1:5" x14ac:dyDescent="0.2">
      <c r="A19"/>
      <c r="B19" s="4"/>
      <c r="E19" s="4"/>
    </row>
    <row r="20" spans="1:5" ht="25.5" x14ac:dyDescent="0.2">
      <c r="A20" s="20" t="s">
        <v>64</v>
      </c>
      <c r="B20" s="30">
        <f>IRR(B8:B18)</f>
        <v>7.9999999999999849E-2</v>
      </c>
      <c r="C20" t="e">
        <f ca="1">"&lt;-- "&amp;_xlfn.FORMULATEXT(B20)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J50"/>
  <sheetViews>
    <sheetView workbookViewId="0">
      <selection activeCell="G15" sqref="G15"/>
    </sheetView>
  </sheetViews>
  <sheetFormatPr defaultRowHeight="12.75" x14ac:dyDescent="0.2"/>
  <cols>
    <col min="1" max="1" width="19.7109375" style="5" customWidth="1"/>
    <col min="2" max="2" width="14.28515625" customWidth="1"/>
    <col min="3" max="3" width="18.28515625" customWidth="1"/>
    <col min="4" max="4" width="15.85546875" customWidth="1"/>
    <col min="5" max="5" width="17.7109375" customWidth="1"/>
    <col min="6" max="6" width="14.85546875" customWidth="1"/>
    <col min="7" max="7" width="14.28515625" customWidth="1"/>
    <col min="8" max="8" width="14" customWidth="1"/>
    <col min="9" max="9" width="17.7109375" style="4" customWidth="1"/>
  </cols>
  <sheetData>
    <row r="1" spans="1:10" ht="18" x14ac:dyDescent="0.25">
      <c r="A1" s="97" t="s">
        <v>41</v>
      </c>
      <c r="B1" s="97"/>
      <c r="C1" s="97"/>
    </row>
    <row r="2" spans="1:10" x14ac:dyDescent="0.2">
      <c r="A2" s="17" t="s">
        <v>18</v>
      </c>
      <c r="B2" s="1">
        <v>100000</v>
      </c>
    </row>
    <row r="3" spans="1:10" x14ac:dyDescent="0.2">
      <c r="A3" s="17" t="s">
        <v>37</v>
      </c>
      <c r="B3" s="10">
        <v>1.4999999999999999E-2</v>
      </c>
      <c r="E3" s="7"/>
    </row>
    <row r="4" spans="1:10" x14ac:dyDescent="0.2">
      <c r="A4" s="17" t="s">
        <v>38</v>
      </c>
      <c r="B4" s="10">
        <v>0.08</v>
      </c>
    </row>
    <row r="5" spans="1:10" x14ac:dyDescent="0.2">
      <c r="A5" s="17" t="s">
        <v>86</v>
      </c>
      <c r="B5" s="27">
        <v>10</v>
      </c>
    </row>
    <row r="6" spans="1:10" x14ac:dyDescent="0.2">
      <c r="A6" s="17" t="s">
        <v>35</v>
      </c>
      <c r="B6" s="21">
        <f>PMT(B4,B5,-B2)</f>
        <v>14902.948869707541</v>
      </c>
      <c r="C6" t="e">
        <f ca="1">"&lt;-- "&amp;_xlfn.FORMULATEXT(B6)</f>
        <v>#NAME?</v>
      </c>
    </row>
    <row r="7" spans="1:10" x14ac:dyDescent="0.2">
      <c r="A7" s="17"/>
      <c r="B7" s="27"/>
      <c r="E7" s="16"/>
      <c r="F7" s="16"/>
      <c r="G7" s="16"/>
      <c r="H7" s="16"/>
      <c r="I7" s="16"/>
      <c r="J7" s="6"/>
    </row>
    <row r="8" spans="1:10" s="6" customFormat="1" ht="25.5" x14ac:dyDescent="0.2">
      <c r="A8" s="6" t="s">
        <v>20</v>
      </c>
      <c r="B8" s="28" t="s">
        <v>39</v>
      </c>
      <c r="D8" s="16"/>
      <c r="E8" s="4"/>
      <c r="F8"/>
      <c r="G8"/>
      <c r="H8"/>
      <c r="I8" s="4"/>
      <c r="J8"/>
    </row>
    <row r="9" spans="1:10" x14ac:dyDescent="0.2">
      <c r="A9" s="5">
        <v>0</v>
      </c>
      <c r="B9" s="4">
        <f>B2*(1-B3)</f>
        <v>98500</v>
      </c>
      <c r="C9" t="e">
        <f ca="1">"&lt;-- "&amp;_xlfn.FORMULATEXT(B9)</f>
        <v>#NAME?</v>
      </c>
      <c r="D9" s="4"/>
      <c r="E9" s="27"/>
      <c r="F9" s="4"/>
    </row>
    <row r="10" spans="1:10" x14ac:dyDescent="0.2">
      <c r="A10" s="5">
        <v>1</v>
      </c>
      <c r="B10" s="4">
        <f t="shared" ref="B10:B19" si="0">-$B$6</f>
        <v>-14902.948869707541</v>
      </c>
      <c r="C10" t="e">
        <f ca="1">"&lt;-- "&amp;_xlfn.FORMULATEXT(B10)</f>
        <v>#NAME?</v>
      </c>
      <c r="D10" s="4"/>
      <c r="E10" s="27"/>
    </row>
    <row r="11" spans="1:10" x14ac:dyDescent="0.2">
      <c r="A11" s="5">
        <v>2</v>
      </c>
      <c r="B11" s="4">
        <f t="shared" si="0"/>
        <v>-14902.948869707541</v>
      </c>
      <c r="D11" s="4"/>
      <c r="E11" s="27"/>
    </row>
    <row r="12" spans="1:10" x14ac:dyDescent="0.2">
      <c r="A12" s="5">
        <v>3</v>
      </c>
      <c r="B12" s="4">
        <f t="shared" si="0"/>
        <v>-14902.948869707541</v>
      </c>
      <c r="D12" s="4"/>
      <c r="E12" s="27"/>
    </row>
    <row r="13" spans="1:10" x14ac:dyDescent="0.2">
      <c r="A13" s="5">
        <v>4</v>
      </c>
      <c r="B13" s="4">
        <f t="shared" si="0"/>
        <v>-14902.948869707541</v>
      </c>
      <c r="D13" s="4"/>
      <c r="E13" s="27"/>
    </row>
    <row r="14" spans="1:10" x14ac:dyDescent="0.2">
      <c r="A14" s="5">
        <v>5</v>
      </c>
      <c r="B14" s="4">
        <f t="shared" si="0"/>
        <v>-14902.948869707541</v>
      </c>
      <c r="D14" s="4"/>
      <c r="E14" s="27"/>
    </row>
    <row r="15" spans="1:10" x14ac:dyDescent="0.2">
      <c r="A15" s="5">
        <v>6</v>
      </c>
      <c r="B15" s="4">
        <f t="shared" si="0"/>
        <v>-14902.948869707541</v>
      </c>
      <c r="D15" s="4"/>
      <c r="E15" s="27"/>
    </row>
    <row r="16" spans="1:10" x14ac:dyDescent="0.2">
      <c r="A16" s="5">
        <v>7</v>
      </c>
      <c r="B16" s="4">
        <f t="shared" si="0"/>
        <v>-14902.948869707541</v>
      </c>
      <c r="D16" s="4"/>
      <c r="E16" s="27"/>
    </row>
    <row r="17" spans="1:6" x14ac:dyDescent="0.2">
      <c r="A17" s="5">
        <v>8</v>
      </c>
      <c r="B17" s="4">
        <f t="shared" si="0"/>
        <v>-14902.948869707541</v>
      </c>
      <c r="D17" s="4"/>
      <c r="E17" s="27"/>
    </row>
    <row r="18" spans="1:6" x14ac:dyDescent="0.2">
      <c r="A18" s="5">
        <v>9</v>
      </c>
      <c r="B18" s="4">
        <f t="shared" si="0"/>
        <v>-14902.948869707541</v>
      </c>
      <c r="D18" s="4"/>
      <c r="E18" s="27"/>
    </row>
    <row r="19" spans="1:6" x14ac:dyDescent="0.2">
      <c r="A19" s="5">
        <v>10</v>
      </c>
      <c r="B19" s="4">
        <f t="shared" si="0"/>
        <v>-14902.948869707541</v>
      </c>
    </row>
    <row r="20" spans="1:6" x14ac:dyDescent="0.2">
      <c r="A20"/>
      <c r="B20" s="4"/>
    </row>
    <row r="21" spans="1:6" ht="25.5" x14ac:dyDescent="0.2">
      <c r="A21" s="81" t="s">
        <v>64</v>
      </c>
      <c r="B21" s="30">
        <f>IRR(B9:B19)</f>
        <v>8.3364598843410853E-2</v>
      </c>
      <c r="C21" t="e">
        <f ca="1">"&lt;-- "&amp;_xlfn.FORMULATEXT(B21)</f>
        <v>#NAME?</v>
      </c>
    </row>
    <row r="23" spans="1:6" ht="18" x14ac:dyDescent="0.25">
      <c r="A23" s="97" t="s">
        <v>42</v>
      </c>
      <c r="B23" s="97"/>
      <c r="C23" s="97"/>
      <c r="D23" s="97"/>
      <c r="E23" s="97"/>
      <c r="F23" s="97"/>
    </row>
    <row r="24" spans="1:6" ht="63.75" x14ac:dyDescent="0.2">
      <c r="A24" s="16" t="s">
        <v>20</v>
      </c>
      <c r="B24" s="16" t="s">
        <v>43</v>
      </c>
      <c r="C24" s="16" t="s">
        <v>36</v>
      </c>
      <c r="D24" s="16" t="s">
        <v>109</v>
      </c>
      <c r="E24" s="16" t="s">
        <v>110</v>
      </c>
    </row>
    <row r="25" spans="1:6" x14ac:dyDescent="0.2">
      <c r="A25" s="46">
        <v>1</v>
      </c>
      <c r="B25" s="40">
        <f>B9</f>
        <v>98500</v>
      </c>
      <c r="C25" s="45">
        <f>$B$6</f>
        <v>14902.948869707541</v>
      </c>
      <c r="D25" s="45">
        <f>$B$21*B25</f>
        <v>8211.4129860759695</v>
      </c>
      <c r="E25" s="40">
        <f>C25-D25</f>
        <v>6691.5358836315718</v>
      </c>
      <c r="F25" t="e">
        <f ca="1">"&lt;-- "&amp;_xlfn.FORMULATEXT(E25)</f>
        <v>#NAME?</v>
      </c>
    </row>
    <row r="26" spans="1:6" x14ac:dyDescent="0.2">
      <c r="A26" s="46">
        <v>2</v>
      </c>
      <c r="B26" s="40">
        <f>B25-E25</f>
        <v>91808.464116368428</v>
      </c>
      <c r="C26" s="45">
        <f t="shared" ref="C26:C34" si="1">$B$6</f>
        <v>14902.948869707541</v>
      </c>
      <c r="D26" s="45">
        <f t="shared" ref="D26:D34" si="2">$B$21*B26</f>
        <v>7653.5757814907347</v>
      </c>
      <c r="E26" s="40">
        <f t="shared" ref="E26:E34" si="3">C26-D26</f>
        <v>7249.3730882168065</v>
      </c>
    </row>
    <row r="27" spans="1:6" x14ac:dyDescent="0.2">
      <c r="A27" s="46">
        <v>3</v>
      </c>
      <c r="B27" s="40">
        <f t="shared" ref="B27:B34" si="4">B26-E26</f>
        <v>84559.091028151626</v>
      </c>
      <c r="C27" s="45">
        <f t="shared" si="1"/>
        <v>14902.948869707541</v>
      </c>
      <c r="D27" s="45">
        <f t="shared" si="2"/>
        <v>7049.2347021253217</v>
      </c>
      <c r="E27" s="40">
        <f t="shared" si="3"/>
        <v>7853.7141675822195</v>
      </c>
    </row>
    <row r="28" spans="1:6" x14ac:dyDescent="0.2">
      <c r="A28" s="46">
        <v>4</v>
      </c>
      <c r="B28" s="40">
        <f t="shared" si="4"/>
        <v>76705.376860569406</v>
      </c>
      <c r="C28" s="45">
        <f t="shared" si="1"/>
        <v>14902.948869707541</v>
      </c>
      <c r="D28" s="45">
        <f t="shared" si="2"/>
        <v>6394.512971114018</v>
      </c>
      <c r="E28" s="40">
        <f t="shared" si="3"/>
        <v>8508.4358985935232</v>
      </c>
    </row>
    <row r="29" spans="1:6" x14ac:dyDescent="0.2">
      <c r="A29" s="46">
        <v>5</v>
      </c>
      <c r="B29" s="40">
        <f t="shared" si="4"/>
        <v>68196.940961975881</v>
      </c>
      <c r="C29" s="45">
        <f t="shared" si="1"/>
        <v>14902.948869707541</v>
      </c>
      <c r="D29" s="45">
        <f t="shared" si="2"/>
        <v>5685.2106256428924</v>
      </c>
      <c r="E29" s="40">
        <f t="shared" si="3"/>
        <v>9217.7382440646488</v>
      </c>
    </row>
    <row r="30" spans="1:6" x14ac:dyDescent="0.2">
      <c r="A30" s="46">
        <v>6</v>
      </c>
      <c r="B30" s="40">
        <f t="shared" si="4"/>
        <v>58979.202717911234</v>
      </c>
      <c r="C30" s="45">
        <f t="shared" si="1"/>
        <v>14902.948869707541</v>
      </c>
      <c r="D30" s="45">
        <f t="shared" si="2"/>
        <v>4916.7775746828775</v>
      </c>
      <c r="E30" s="40">
        <f t="shared" si="3"/>
        <v>9986.1712950246638</v>
      </c>
    </row>
    <row r="31" spans="1:6" x14ac:dyDescent="0.2">
      <c r="A31" s="46">
        <v>7</v>
      </c>
      <c r="B31" s="40">
        <f t="shared" si="4"/>
        <v>48993.031422886568</v>
      </c>
      <c r="C31" s="45">
        <f t="shared" si="1"/>
        <v>14902.948869707541</v>
      </c>
      <c r="D31" s="45">
        <f t="shared" si="2"/>
        <v>4084.2844106915613</v>
      </c>
      <c r="E31" s="40">
        <f t="shared" si="3"/>
        <v>10818.664459015979</v>
      </c>
    </row>
    <row r="32" spans="1:6" x14ac:dyDescent="0.2">
      <c r="A32" s="46">
        <v>8</v>
      </c>
      <c r="B32" s="40">
        <f t="shared" si="4"/>
        <v>38174.366963870591</v>
      </c>
      <c r="C32" s="45">
        <f t="shared" si="1"/>
        <v>14902.948869707541</v>
      </c>
      <c r="D32" s="45">
        <f t="shared" si="2"/>
        <v>3182.3907880442275</v>
      </c>
      <c r="E32" s="40">
        <f t="shared" si="3"/>
        <v>11720.558081663314</v>
      </c>
    </row>
    <row r="33" spans="1:5" x14ac:dyDescent="0.2">
      <c r="A33" s="46">
        <v>9</v>
      </c>
      <c r="B33" s="40">
        <f t="shared" si="4"/>
        <v>26453.808882207275</v>
      </c>
      <c r="C33" s="45">
        <f t="shared" si="1"/>
        <v>14902.948869707541</v>
      </c>
      <c r="D33" s="45">
        <f t="shared" si="2"/>
        <v>2205.3111653454685</v>
      </c>
      <c r="E33" s="40">
        <f t="shared" si="3"/>
        <v>12697.637704362072</v>
      </c>
    </row>
    <row r="34" spans="1:5" x14ac:dyDescent="0.2">
      <c r="A34" s="46">
        <v>10</v>
      </c>
      <c r="B34" s="40">
        <f t="shared" si="4"/>
        <v>13756.171177845203</v>
      </c>
      <c r="C34" s="45">
        <f t="shared" si="1"/>
        <v>14902.948869707541</v>
      </c>
      <c r="D34" s="45">
        <f t="shared" si="2"/>
        <v>1146.7776918623558</v>
      </c>
      <c r="E34" s="40">
        <f t="shared" si="3"/>
        <v>13756.171177845186</v>
      </c>
    </row>
    <row r="35" spans="1:5" x14ac:dyDescent="0.2">
      <c r="E35" s="4"/>
    </row>
    <row r="36" spans="1:5" x14ac:dyDescent="0.2">
      <c r="A36" s="61" t="e">
        <f ca="1">_xlfn.FORMULATEXT(B26)</f>
        <v>#NAME?</v>
      </c>
      <c r="C36" s="60" t="e">
        <f ca="1">_xlfn.FORMULATEXT(D25)</f>
        <v>#NAME?</v>
      </c>
    </row>
    <row r="39" spans="1:5" x14ac:dyDescent="0.2">
      <c r="A39" s="6"/>
    </row>
    <row r="40" spans="1:5" x14ac:dyDescent="0.2">
      <c r="A40" s="16"/>
      <c r="B40" s="16"/>
      <c r="C40" s="16"/>
      <c r="D40" s="16"/>
      <c r="E40" s="16"/>
    </row>
    <row r="41" spans="1:5" x14ac:dyDescent="0.2">
      <c r="A41" s="27"/>
      <c r="B41" s="4"/>
      <c r="C41" s="21"/>
      <c r="D41" s="21"/>
      <c r="E41" s="4"/>
    </row>
    <row r="42" spans="1:5" x14ac:dyDescent="0.2">
      <c r="A42" s="27"/>
      <c r="B42" s="4"/>
      <c r="C42" s="21"/>
      <c r="D42" s="21"/>
      <c r="E42" s="4"/>
    </row>
    <row r="43" spans="1:5" x14ac:dyDescent="0.2">
      <c r="A43" s="27"/>
      <c r="B43" s="4"/>
      <c r="C43" s="21"/>
      <c r="D43" s="21"/>
      <c r="E43" s="4"/>
    </row>
    <row r="44" spans="1:5" x14ac:dyDescent="0.2">
      <c r="A44" s="27"/>
      <c r="B44" s="4"/>
      <c r="C44" s="21"/>
      <c r="D44" s="21"/>
      <c r="E44" s="4"/>
    </row>
    <row r="45" spans="1:5" x14ac:dyDescent="0.2">
      <c r="A45" s="27"/>
      <c r="B45" s="4"/>
      <c r="C45" s="21"/>
      <c r="D45" s="21"/>
      <c r="E45" s="4"/>
    </row>
    <row r="46" spans="1:5" x14ac:dyDescent="0.2">
      <c r="A46" s="27"/>
      <c r="B46" s="4"/>
      <c r="C46" s="21"/>
      <c r="D46" s="21"/>
      <c r="E46" s="4"/>
    </row>
    <row r="47" spans="1:5" x14ac:dyDescent="0.2">
      <c r="A47" s="27"/>
      <c r="B47" s="4"/>
      <c r="C47" s="21"/>
      <c r="D47" s="21"/>
      <c r="E47" s="4"/>
    </row>
    <row r="48" spans="1:5" x14ac:dyDescent="0.2">
      <c r="A48" s="27"/>
      <c r="B48" s="4"/>
      <c r="C48" s="21"/>
      <c r="D48" s="21"/>
      <c r="E48" s="4"/>
    </row>
    <row r="49" spans="1:5" x14ac:dyDescent="0.2">
      <c r="A49" s="27"/>
      <c r="B49" s="4"/>
      <c r="C49" s="21"/>
      <c r="D49" s="21"/>
      <c r="E49" s="4"/>
    </row>
    <row r="50" spans="1:5" x14ac:dyDescent="0.2">
      <c r="A50" s="27"/>
      <c r="B50" s="4"/>
      <c r="C50" s="21"/>
      <c r="D50" s="21"/>
      <c r="E50" s="4"/>
    </row>
  </sheetData>
  <mergeCells count="2">
    <mergeCell ref="A1:C1"/>
    <mergeCell ref="A23:F23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G36"/>
  <sheetViews>
    <sheetView workbookViewId="0">
      <selection activeCell="F10" sqref="F10"/>
    </sheetView>
  </sheetViews>
  <sheetFormatPr defaultRowHeight="12.75" x14ac:dyDescent="0.2"/>
  <cols>
    <col min="1" max="1" width="19.7109375" style="5" customWidth="1"/>
    <col min="2" max="2" width="14.28515625" customWidth="1"/>
    <col min="3" max="3" width="16.28515625" bestFit="1" customWidth="1"/>
    <col min="4" max="4" width="15.85546875" customWidth="1"/>
    <col min="5" max="5" width="17.7109375" customWidth="1"/>
    <col min="6" max="6" width="14.28515625" customWidth="1"/>
    <col min="7" max="7" width="14.85546875" customWidth="1"/>
  </cols>
  <sheetData>
    <row r="1" spans="1:7" ht="44.25" customHeight="1" x14ac:dyDescent="0.2">
      <c r="A1" s="96" t="s">
        <v>122</v>
      </c>
      <c r="B1" s="96"/>
      <c r="C1" s="96"/>
      <c r="D1" s="96"/>
      <c r="E1" s="96"/>
    </row>
    <row r="2" spans="1:7" s="24" customFormat="1" x14ac:dyDescent="0.2">
      <c r="A2" s="26" t="s">
        <v>0</v>
      </c>
      <c r="B2" s="63">
        <v>100000</v>
      </c>
      <c r="C2" s="6"/>
    </row>
    <row r="3" spans="1:7" s="24" customFormat="1" ht="12.75" customHeight="1" x14ac:dyDescent="0.2">
      <c r="A3" s="74" t="s">
        <v>130</v>
      </c>
      <c r="B3" s="75">
        <v>1.4999999999999999E-2</v>
      </c>
      <c r="C3" s="69"/>
      <c r="E3" s="99" t="str">
        <f>"The interest rate from the previous spreadsheet has been formatted to show only two decimal places.  The actual interest rate is "&amp;TEXT('Page 145+146'!B21,"0.000000000%")</f>
        <v>The interest rate from the previous spreadsheet has been formatted to show only two decimal places.  The actual interest rate is 8.336459884%</v>
      </c>
      <c r="F3" s="99"/>
      <c r="G3" s="99"/>
    </row>
    <row r="4" spans="1:7" s="24" customFormat="1" ht="12.75" customHeight="1" x14ac:dyDescent="0.2">
      <c r="A4" s="74" t="s">
        <v>38</v>
      </c>
      <c r="B4" s="75">
        <v>0.08</v>
      </c>
      <c r="C4" s="69"/>
      <c r="E4" s="99"/>
      <c r="F4" s="99"/>
      <c r="G4" s="99"/>
    </row>
    <row r="5" spans="1:7" s="24" customFormat="1" ht="12.75" customHeight="1" x14ac:dyDescent="0.2">
      <c r="A5" s="26" t="s">
        <v>118</v>
      </c>
      <c r="B5" s="64">
        <v>10</v>
      </c>
      <c r="C5" s="6"/>
      <c r="E5" s="99"/>
      <c r="F5" s="99"/>
      <c r="G5" s="99"/>
    </row>
    <row r="6" spans="1:7" s="24" customFormat="1" ht="12.75" customHeight="1" x14ac:dyDescent="0.2">
      <c r="A6" s="26" t="s">
        <v>119</v>
      </c>
      <c r="B6" s="65">
        <f>'Page 145+146'!B21</f>
        <v>8.3364598843410853E-2</v>
      </c>
      <c r="C6" s="74" t="e">
        <f ca="1">"&lt;-- "&amp;_xlfn.FORMULATEXT(B6)</f>
        <v>#NAME?</v>
      </c>
      <c r="E6" s="99"/>
      <c r="F6" s="99"/>
      <c r="G6" s="99"/>
    </row>
    <row r="7" spans="1:7" s="24" customFormat="1" ht="12.75" customHeight="1" x14ac:dyDescent="0.2">
      <c r="A7" s="26" t="s">
        <v>35</v>
      </c>
      <c r="B7" s="83">
        <f>PMT(B6,B5,-B2*(1-B3))</f>
        <v>14902.948869707541</v>
      </c>
      <c r="C7" s="26" t="e">
        <f ca="1">"&lt;-- "&amp;_xlfn.FORMULATEXT(B7)</f>
        <v>#NAME?</v>
      </c>
      <c r="E7" s="99"/>
      <c r="F7" s="99"/>
      <c r="G7" s="99"/>
    </row>
    <row r="8" spans="1:7" s="24" customFormat="1" ht="12.75" customHeight="1" x14ac:dyDescent="0.2">
      <c r="A8" s="62"/>
      <c r="E8" s="99"/>
      <c r="F8" s="99"/>
      <c r="G8" s="99"/>
    </row>
    <row r="9" spans="1:7" ht="15.75" x14ac:dyDescent="0.25">
      <c r="A9" s="8" t="s">
        <v>42</v>
      </c>
      <c r="E9" s="4"/>
    </row>
    <row r="10" spans="1:7" s="68" customFormat="1" ht="51" x14ac:dyDescent="0.2">
      <c r="A10" s="67" t="s">
        <v>20</v>
      </c>
      <c r="B10" s="67" t="s">
        <v>43</v>
      </c>
      <c r="C10" s="67" t="s">
        <v>36</v>
      </c>
      <c r="D10" s="67" t="s">
        <v>120</v>
      </c>
      <c r="E10" s="67" t="s">
        <v>121</v>
      </c>
    </row>
    <row r="11" spans="1:7" x14ac:dyDescent="0.2">
      <c r="A11" s="46">
        <v>1</v>
      </c>
      <c r="B11" s="40">
        <f>B2*(1-B3)</f>
        <v>98500</v>
      </c>
      <c r="C11" s="40">
        <f>$B$7</f>
        <v>14902.948869707541</v>
      </c>
      <c r="D11" s="40">
        <f>IPMT($B$6,A11,$B$5,-$B$11)</f>
        <v>8211.4129860759695</v>
      </c>
      <c r="E11" s="40">
        <f>PPMT($B$6,A11,$B$5,-$B$2)</f>
        <v>6793.4374453112414</v>
      </c>
      <c r="F11" t="e">
        <f ca="1">"&lt;-- "&amp;_xlfn.FORMULATEXT(E11)</f>
        <v>#NAME?</v>
      </c>
    </row>
    <row r="12" spans="1:7" x14ac:dyDescent="0.2">
      <c r="A12" s="46">
        <v>2</v>
      </c>
      <c r="B12" s="40">
        <f>B11-E11</f>
        <v>91706.56255468876</v>
      </c>
      <c r="C12" s="40">
        <f t="shared" ref="C12:C20" si="0">$B$7</f>
        <v>14902.948869707541</v>
      </c>
      <c r="D12" s="40">
        <f>IPMT($B$6,A12,$B$5,-$B$11)</f>
        <v>7653.5757814907329</v>
      </c>
      <c r="E12" s="40">
        <f t="shared" ref="E12:E20" si="1">PPMT($B$6,A12,$B$5,-$B$2)</f>
        <v>7359.7696327074182</v>
      </c>
    </row>
    <row r="13" spans="1:7" x14ac:dyDescent="0.2">
      <c r="A13" s="46">
        <v>3</v>
      </c>
      <c r="B13" s="40">
        <f t="shared" ref="B13:B20" si="2">B12-E12</f>
        <v>84346.792921981338</v>
      </c>
      <c r="C13" s="40">
        <f t="shared" si="0"/>
        <v>14902.948869707541</v>
      </c>
      <c r="D13" s="40">
        <f t="shared" ref="D13:D20" si="3">IPMT($B$6,A13,$B$5,-$B$11)</f>
        <v>7049.2347021253217</v>
      </c>
      <c r="E13" s="40">
        <f t="shared" si="1"/>
        <v>7973.3138757179904</v>
      </c>
    </row>
    <row r="14" spans="1:7" x14ac:dyDescent="0.2">
      <c r="A14" s="46">
        <v>4</v>
      </c>
      <c r="B14" s="40">
        <f t="shared" si="2"/>
        <v>76373.479046263354</v>
      </c>
      <c r="C14" s="40">
        <f t="shared" si="0"/>
        <v>14902.948869707541</v>
      </c>
      <c r="D14" s="40">
        <f t="shared" si="3"/>
        <v>6394.512971114018</v>
      </c>
      <c r="E14" s="40">
        <f t="shared" si="1"/>
        <v>8638.0059884198217</v>
      </c>
    </row>
    <row r="15" spans="1:7" x14ac:dyDescent="0.2">
      <c r="A15" s="46">
        <v>5</v>
      </c>
      <c r="B15" s="40">
        <f t="shared" si="2"/>
        <v>67735.473057843526</v>
      </c>
      <c r="C15" s="40">
        <f t="shared" si="0"/>
        <v>14902.948869707541</v>
      </c>
      <c r="D15" s="40">
        <f t="shared" si="3"/>
        <v>5685.2106256428915</v>
      </c>
      <c r="E15" s="40">
        <f t="shared" si="1"/>
        <v>9358.109892451419</v>
      </c>
    </row>
    <row r="16" spans="1:7" x14ac:dyDescent="0.2">
      <c r="A16" s="46">
        <v>6</v>
      </c>
      <c r="B16" s="40">
        <f t="shared" si="2"/>
        <v>58377.363165392104</v>
      </c>
      <c r="C16" s="40">
        <f t="shared" si="0"/>
        <v>14902.948869707541</v>
      </c>
      <c r="D16" s="40">
        <f t="shared" si="3"/>
        <v>4916.7775746828756</v>
      </c>
      <c r="E16" s="40">
        <f t="shared" si="1"/>
        <v>10138.244969568188</v>
      </c>
    </row>
    <row r="17" spans="1:5" x14ac:dyDescent="0.2">
      <c r="A17" s="46">
        <v>7</v>
      </c>
      <c r="B17" s="40">
        <f t="shared" si="2"/>
        <v>48239.118195823918</v>
      </c>
      <c r="C17" s="40">
        <f t="shared" si="0"/>
        <v>14902.948869707541</v>
      </c>
      <c r="D17" s="40">
        <f t="shared" si="3"/>
        <v>4084.2844106915604</v>
      </c>
      <c r="E17" s="40">
        <f t="shared" si="1"/>
        <v>10983.415694432468</v>
      </c>
    </row>
    <row r="18" spans="1:5" x14ac:dyDescent="0.2">
      <c r="A18" s="46">
        <v>8</v>
      </c>
      <c r="B18" s="40">
        <f t="shared" si="2"/>
        <v>37255.702501391454</v>
      </c>
      <c r="C18" s="40">
        <f t="shared" si="0"/>
        <v>14902.948869707541</v>
      </c>
      <c r="D18" s="40">
        <f t="shared" si="3"/>
        <v>3182.3907880442271</v>
      </c>
      <c r="E18" s="40">
        <f t="shared" si="1"/>
        <v>11899.043737729253</v>
      </c>
    </row>
    <row r="19" spans="1:5" x14ac:dyDescent="0.2">
      <c r="A19" s="46">
        <v>9</v>
      </c>
      <c r="B19" s="40">
        <f t="shared" si="2"/>
        <v>25356.658763662199</v>
      </c>
      <c r="C19" s="40">
        <f t="shared" si="0"/>
        <v>14902.948869707541</v>
      </c>
      <c r="D19" s="40">
        <f t="shared" si="3"/>
        <v>2205.3111653454675</v>
      </c>
      <c r="E19" s="40">
        <f t="shared" si="1"/>
        <v>12891.002745545255</v>
      </c>
    </row>
    <row r="20" spans="1:5" x14ac:dyDescent="0.2">
      <c r="A20" s="46">
        <v>10</v>
      </c>
      <c r="B20" s="40">
        <f t="shared" si="2"/>
        <v>12465.656018116944</v>
      </c>
      <c r="C20" s="40">
        <f t="shared" si="0"/>
        <v>14902.948869707541</v>
      </c>
      <c r="D20" s="40">
        <f t="shared" si="3"/>
        <v>1146.7776918623549</v>
      </c>
      <c r="E20" s="40">
        <f t="shared" si="1"/>
        <v>13965.656018116943</v>
      </c>
    </row>
    <row r="21" spans="1:5" x14ac:dyDescent="0.2">
      <c r="E21" s="4"/>
    </row>
    <row r="22" spans="1:5" x14ac:dyDescent="0.2">
      <c r="A22" s="66"/>
      <c r="B22" s="98" t="e">
        <f ca="1">_xlfn.FORMULATEXT(D11)</f>
        <v>#NAME?</v>
      </c>
      <c r="C22" s="98"/>
    </row>
    <row r="25" spans="1:5" x14ac:dyDescent="0.2">
      <c r="A25" s="6"/>
    </row>
    <row r="26" spans="1:5" x14ac:dyDescent="0.2">
      <c r="A26" s="16"/>
      <c r="B26" s="16"/>
      <c r="C26" s="16"/>
      <c r="D26" s="16"/>
      <c r="E26" s="16"/>
    </row>
    <row r="27" spans="1:5" x14ac:dyDescent="0.2">
      <c r="A27" s="27"/>
      <c r="B27" s="4"/>
      <c r="C27" s="21"/>
      <c r="D27" s="21"/>
      <c r="E27" s="4"/>
    </row>
    <row r="28" spans="1:5" x14ac:dyDescent="0.2">
      <c r="A28" s="27"/>
      <c r="B28" s="4"/>
      <c r="C28" s="21"/>
      <c r="D28" s="21"/>
      <c r="E28" s="4"/>
    </row>
    <row r="29" spans="1:5" x14ac:dyDescent="0.2">
      <c r="A29" s="27"/>
      <c r="B29" s="4"/>
      <c r="C29" s="21"/>
      <c r="D29" s="21"/>
      <c r="E29" s="4"/>
    </row>
    <row r="30" spans="1:5" x14ac:dyDescent="0.2">
      <c r="A30" s="27"/>
      <c r="B30" s="4"/>
      <c r="C30" s="21"/>
      <c r="D30" s="21"/>
      <c r="E30" s="4"/>
    </row>
    <row r="31" spans="1:5" x14ac:dyDescent="0.2">
      <c r="A31" s="27"/>
      <c r="B31" s="4"/>
      <c r="C31" s="21"/>
      <c r="D31" s="21"/>
      <c r="E31" s="4"/>
    </row>
    <row r="32" spans="1:5" x14ac:dyDescent="0.2">
      <c r="A32" s="27"/>
      <c r="B32" s="4"/>
      <c r="C32" s="21"/>
      <c r="D32" s="21"/>
      <c r="E32" s="4"/>
    </row>
    <row r="33" spans="1:5" x14ac:dyDescent="0.2">
      <c r="A33" s="27"/>
      <c r="B33" s="4"/>
      <c r="C33" s="21"/>
      <c r="D33" s="21"/>
      <c r="E33" s="4"/>
    </row>
    <row r="34" spans="1:5" x14ac:dyDescent="0.2">
      <c r="A34" s="27"/>
      <c r="B34" s="4"/>
      <c r="C34" s="21"/>
      <c r="D34" s="21"/>
      <c r="E34" s="4"/>
    </row>
    <row r="35" spans="1:5" x14ac:dyDescent="0.2">
      <c r="A35" s="27"/>
      <c r="B35" s="4"/>
      <c r="C35" s="21"/>
      <c r="D35" s="21"/>
      <c r="E35" s="4"/>
    </row>
    <row r="36" spans="1:5" x14ac:dyDescent="0.2">
      <c r="A36" s="27"/>
      <c r="B36" s="4"/>
      <c r="C36" s="21"/>
      <c r="D36" s="21"/>
      <c r="E36" s="4"/>
    </row>
  </sheetData>
  <mergeCells count="3">
    <mergeCell ref="B22:C22"/>
    <mergeCell ref="A1:E1"/>
    <mergeCell ref="E3:G8"/>
  </mergeCells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C355"/>
  <sheetViews>
    <sheetView workbookViewId="0">
      <selection sqref="A1:C1"/>
    </sheetView>
  </sheetViews>
  <sheetFormatPr defaultRowHeight="12.75" x14ac:dyDescent="0.2"/>
  <cols>
    <col min="1" max="1" width="19.7109375" customWidth="1"/>
    <col min="2" max="2" width="12" customWidth="1"/>
    <col min="3" max="3" width="30" bestFit="1" customWidth="1"/>
  </cols>
  <sheetData>
    <row r="1" spans="1:3" ht="18" x14ac:dyDescent="0.25">
      <c r="A1" s="97" t="s">
        <v>65</v>
      </c>
      <c r="B1" s="97"/>
      <c r="C1" s="97"/>
    </row>
    <row r="2" spans="1:3" x14ac:dyDescent="0.2">
      <c r="A2" t="s">
        <v>0</v>
      </c>
      <c r="B2" s="1">
        <v>100000</v>
      </c>
    </row>
    <row r="3" spans="1:3" x14ac:dyDescent="0.2">
      <c r="A3" t="s">
        <v>1</v>
      </c>
      <c r="B3">
        <v>1</v>
      </c>
    </row>
    <row r="4" spans="1:3" x14ac:dyDescent="0.2">
      <c r="A4" t="s">
        <v>2</v>
      </c>
      <c r="B4" s="2">
        <v>0.08</v>
      </c>
    </row>
    <row r="6" spans="1:3" x14ac:dyDescent="0.2">
      <c r="A6" s="6" t="s">
        <v>3</v>
      </c>
      <c r="B6" s="7" t="s">
        <v>4</v>
      </c>
    </row>
    <row r="7" spans="1:3" x14ac:dyDescent="0.2">
      <c r="A7" s="5">
        <v>0</v>
      </c>
      <c r="B7" s="3">
        <f>B2</f>
        <v>100000</v>
      </c>
    </row>
    <row r="8" spans="1:3" x14ac:dyDescent="0.2">
      <c r="A8" s="5">
        <v>1</v>
      </c>
      <c r="B8" s="4">
        <f>PMT($B$4/12,$B$3*12,$B$2)</f>
        <v>-8698.8429085421067</v>
      </c>
      <c r="C8" t="e">
        <f ca="1">"&lt;-- "&amp;_xlfn.FORMULATEXT(B8)</f>
        <v>#NAME?</v>
      </c>
    </row>
    <row r="9" spans="1:3" x14ac:dyDescent="0.2">
      <c r="A9" s="5">
        <v>2</v>
      </c>
      <c r="B9" s="4">
        <f t="shared" ref="B9:B19" si="0">PMT($B$4/12,$B$3*12,$B$2)</f>
        <v>-8698.8429085421067</v>
      </c>
    </row>
    <row r="10" spans="1:3" x14ac:dyDescent="0.2">
      <c r="A10" s="5">
        <v>3</v>
      </c>
      <c r="B10" s="4">
        <f t="shared" si="0"/>
        <v>-8698.8429085421067</v>
      </c>
    </row>
    <row r="11" spans="1:3" x14ac:dyDescent="0.2">
      <c r="A11" s="5">
        <v>4</v>
      </c>
      <c r="B11" s="4">
        <f t="shared" si="0"/>
        <v>-8698.8429085421067</v>
      </c>
    </row>
    <row r="12" spans="1:3" x14ac:dyDescent="0.2">
      <c r="A12" s="5">
        <v>5</v>
      </c>
      <c r="B12" s="4">
        <f t="shared" si="0"/>
        <v>-8698.8429085421067</v>
      </c>
    </row>
    <row r="13" spans="1:3" x14ac:dyDescent="0.2">
      <c r="A13" s="5">
        <v>6</v>
      </c>
      <c r="B13" s="4">
        <f t="shared" si="0"/>
        <v>-8698.8429085421067</v>
      </c>
    </row>
    <row r="14" spans="1:3" x14ac:dyDescent="0.2">
      <c r="A14" s="5">
        <v>7</v>
      </c>
      <c r="B14" s="4">
        <f t="shared" si="0"/>
        <v>-8698.8429085421067</v>
      </c>
    </row>
    <row r="15" spans="1:3" x14ac:dyDescent="0.2">
      <c r="A15" s="5">
        <v>8</v>
      </c>
      <c r="B15" s="4">
        <f t="shared" si="0"/>
        <v>-8698.8429085421067</v>
      </c>
    </row>
    <row r="16" spans="1:3" x14ac:dyDescent="0.2">
      <c r="A16" s="5">
        <v>9</v>
      </c>
      <c r="B16" s="4">
        <f t="shared" si="0"/>
        <v>-8698.8429085421067</v>
      </c>
    </row>
    <row r="17" spans="1:3" x14ac:dyDescent="0.2">
      <c r="A17" s="5">
        <v>10</v>
      </c>
      <c r="B17" s="4">
        <f t="shared" si="0"/>
        <v>-8698.8429085421067</v>
      </c>
    </row>
    <row r="18" spans="1:3" x14ac:dyDescent="0.2">
      <c r="A18" s="5">
        <v>11</v>
      </c>
      <c r="B18" s="4">
        <f t="shared" si="0"/>
        <v>-8698.8429085421067</v>
      </c>
    </row>
    <row r="19" spans="1:3" x14ac:dyDescent="0.2">
      <c r="A19" s="5">
        <v>12</v>
      </c>
      <c r="B19" s="4">
        <f t="shared" si="0"/>
        <v>-8698.8429085421067</v>
      </c>
    </row>
    <row r="20" spans="1:3" x14ac:dyDescent="0.2">
      <c r="A20" s="5"/>
      <c r="B20" s="4"/>
    </row>
    <row r="21" spans="1:3" x14ac:dyDescent="0.2">
      <c r="A21" s="74" t="s">
        <v>149</v>
      </c>
      <c r="B21" s="39">
        <f>IRR(B7:B19)</f>
        <v>6.6666666666665986E-3</v>
      </c>
      <c r="C21" t="e">
        <f ca="1">"&lt;-- "&amp;_xlfn.FORMULATEXT(B21)</f>
        <v>#NAME?</v>
      </c>
    </row>
    <row r="22" spans="1:3" ht="25.5" x14ac:dyDescent="0.2">
      <c r="A22" s="34" t="s">
        <v>111</v>
      </c>
      <c r="B22" s="32">
        <f>(1+B21)^12-1</f>
        <v>8.2999506807510004E-2</v>
      </c>
      <c r="C22" t="e">
        <f ca="1">"&lt;-- "&amp;_xlfn.FORMULATEXT(B22)</f>
        <v>#NAME?</v>
      </c>
    </row>
    <row r="23" spans="1:3" x14ac:dyDescent="0.2">
      <c r="A23" s="5"/>
      <c r="B23" s="4"/>
    </row>
    <row r="24" spans="1:3" x14ac:dyDescent="0.2">
      <c r="A24" s="5"/>
      <c r="B24" s="4"/>
    </row>
    <row r="25" spans="1:3" x14ac:dyDescent="0.2">
      <c r="A25" s="5"/>
      <c r="B25" s="4"/>
    </row>
    <row r="26" spans="1:3" x14ac:dyDescent="0.2">
      <c r="A26" s="5"/>
      <c r="B26" s="4"/>
    </row>
    <row r="27" spans="1:3" x14ac:dyDescent="0.2">
      <c r="A27" s="5"/>
      <c r="B27" s="4"/>
    </row>
    <row r="28" spans="1:3" x14ac:dyDescent="0.2">
      <c r="A28" s="5"/>
      <c r="B28" s="4"/>
    </row>
    <row r="29" spans="1:3" x14ac:dyDescent="0.2">
      <c r="A29" s="5"/>
      <c r="B29" s="4"/>
    </row>
    <row r="30" spans="1:3" x14ac:dyDescent="0.2">
      <c r="A30" s="5"/>
      <c r="B30" s="4"/>
    </row>
    <row r="31" spans="1:3" x14ac:dyDescent="0.2">
      <c r="A31" s="5"/>
      <c r="B31" s="4"/>
    </row>
    <row r="32" spans="1:3" x14ac:dyDescent="0.2">
      <c r="A32" s="5"/>
      <c r="B32" s="4"/>
    </row>
    <row r="33" spans="1:2" x14ac:dyDescent="0.2">
      <c r="A33" s="5"/>
      <c r="B33" s="4"/>
    </row>
    <row r="34" spans="1:2" x14ac:dyDescent="0.2">
      <c r="A34" s="5"/>
      <c r="B34" s="4"/>
    </row>
    <row r="35" spans="1:2" x14ac:dyDescent="0.2">
      <c r="A35" s="5"/>
      <c r="B35" s="4"/>
    </row>
    <row r="36" spans="1:2" x14ac:dyDescent="0.2">
      <c r="A36" s="5"/>
      <c r="B36" s="4"/>
    </row>
    <row r="37" spans="1:2" x14ac:dyDescent="0.2">
      <c r="A37" s="5"/>
      <c r="B37" s="4"/>
    </row>
    <row r="38" spans="1:2" x14ac:dyDescent="0.2">
      <c r="A38" s="5"/>
      <c r="B38" s="4"/>
    </row>
    <row r="39" spans="1:2" x14ac:dyDescent="0.2">
      <c r="A39" s="5"/>
      <c r="B39" s="4"/>
    </row>
    <row r="40" spans="1:2" x14ac:dyDescent="0.2">
      <c r="A40" s="5"/>
      <c r="B40" s="4"/>
    </row>
    <row r="41" spans="1:2" x14ac:dyDescent="0.2">
      <c r="A41" s="5"/>
      <c r="B41" s="4"/>
    </row>
    <row r="42" spans="1:2" x14ac:dyDescent="0.2">
      <c r="A42" s="5"/>
      <c r="B42" s="4"/>
    </row>
    <row r="43" spans="1:2" x14ac:dyDescent="0.2">
      <c r="A43" s="5"/>
      <c r="B43" s="4"/>
    </row>
    <row r="44" spans="1:2" x14ac:dyDescent="0.2">
      <c r="A44" s="5"/>
      <c r="B44" s="4"/>
    </row>
    <row r="45" spans="1:2" x14ac:dyDescent="0.2">
      <c r="A45" s="5"/>
      <c r="B45" s="4"/>
    </row>
    <row r="46" spans="1:2" x14ac:dyDescent="0.2">
      <c r="A46" s="5"/>
      <c r="B46" s="4"/>
    </row>
    <row r="47" spans="1:2" x14ac:dyDescent="0.2">
      <c r="A47" s="5"/>
      <c r="B47" s="4"/>
    </row>
    <row r="48" spans="1:2" x14ac:dyDescent="0.2">
      <c r="A48" s="5"/>
      <c r="B48" s="4"/>
    </row>
    <row r="49" spans="1:2" x14ac:dyDescent="0.2">
      <c r="A49" s="5"/>
      <c r="B49" s="4"/>
    </row>
    <row r="50" spans="1:2" x14ac:dyDescent="0.2">
      <c r="A50" s="5"/>
      <c r="B50" s="4"/>
    </row>
    <row r="51" spans="1:2" x14ac:dyDescent="0.2">
      <c r="A51" s="5"/>
      <c r="B51" s="4"/>
    </row>
    <row r="52" spans="1:2" x14ac:dyDescent="0.2">
      <c r="A52" s="5"/>
      <c r="B52" s="4"/>
    </row>
    <row r="53" spans="1:2" x14ac:dyDescent="0.2">
      <c r="A53" s="5"/>
      <c r="B53" s="4"/>
    </row>
    <row r="54" spans="1:2" x14ac:dyDescent="0.2">
      <c r="A54" s="5"/>
      <c r="B54" s="4"/>
    </row>
    <row r="55" spans="1:2" x14ac:dyDescent="0.2">
      <c r="A55" s="5"/>
      <c r="B55" s="4"/>
    </row>
    <row r="56" spans="1:2" x14ac:dyDescent="0.2">
      <c r="A56" s="5"/>
      <c r="B56" s="4"/>
    </row>
    <row r="57" spans="1:2" x14ac:dyDescent="0.2">
      <c r="A57" s="5"/>
      <c r="B57" s="4"/>
    </row>
    <row r="58" spans="1:2" x14ac:dyDescent="0.2">
      <c r="A58" s="5"/>
      <c r="B58" s="4"/>
    </row>
    <row r="59" spans="1:2" x14ac:dyDescent="0.2">
      <c r="A59" s="5"/>
      <c r="B59" s="4"/>
    </row>
    <row r="60" spans="1:2" x14ac:dyDescent="0.2">
      <c r="A60" s="5"/>
      <c r="B60" s="4"/>
    </row>
    <row r="61" spans="1:2" x14ac:dyDescent="0.2">
      <c r="A61" s="5"/>
      <c r="B61" s="4"/>
    </row>
    <row r="62" spans="1:2" x14ac:dyDescent="0.2">
      <c r="A62" s="5"/>
      <c r="B62" s="4"/>
    </row>
    <row r="63" spans="1:2" x14ac:dyDescent="0.2">
      <c r="A63" s="5"/>
      <c r="B63" s="4"/>
    </row>
    <row r="64" spans="1:2" x14ac:dyDescent="0.2">
      <c r="A64" s="5"/>
      <c r="B64" s="4"/>
    </row>
    <row r="65" spans="1:2" x14ac:dyDescent="0.2">
      <c r="A65" s="5"/>
      <c r="B65" s="4"/>
    </row>
    <row r="66" spans="1:2" x14ac:dyDescent="0.2">
      <c r="A66" s="5"/>
      <c r="B66" s="4"/>
    </row>
    <row r="67" spans="1:2" x14ac:dyDescent="0.2">
      <c r="A67" s="5"/>
      <c r="B67" s="4"/>
    </row>
    <row r="68" spans="1:2" x14ac:dyDescent="0.2">
      <c r="A68" s="5"/>
      <c r="B68" s="4"/>
    </row>
    <row r="69" spans="1:2" x14ac:dyDescent="0.2">
      <c r="A69" s="5"/>
      <c r="B69" s="4"/>
    </row>
    <row r="70" spans="1:2" x14ac:dyDescent="0.2">
      <c r="A70" s="5"/>
      <c r="B70" s="4"/>
    </row>
    <row r="71" spans="1:2" x14ac:dyDescent="0.2">
      <c r="A71" s="5"/>
      <c r="B71" s="4"/>
    </row>
    <row r="72" spans="1:2" x14ac:dyDescent="0.2">
      <c r="A72" s="5"/>
      <c r="B72" s="4"/>
    </row>
    <row r="73" spans="1:2" x14ac:dyDescent="0.2">
      <c r="A73" s="5"/>
      <c r="B73" s="4"/>
    </row>
    <row r="74" spans="1:2" x14ac:dyDescent="0.2">
      <c r="A74" s="5"/>
      <c r="B74" s="4"/>
    </row>
    <row r="75" spans="1:2" x14ac:dyDescent="0.2">
      <c r="A75" s="5"/>
      <c r="B75" s="4"/>
    </row>
    <row r="76" spans="1:2" x14ac:dyDescent="0.2">
      <c r="A76" s="5"/>
      <c r="B76" s="4"/>
    </row>
    <row r="77" spans="1:2" x14ac:dyDescent="0.2">
      <c r="A77" s="5"/>
      <c r="B77" s="4"/>
    </row>
    <row r="78" spans="1:2" x14ac:dyDescent="0.2">
      <c r="A78" s="5"/>
      <c r="B78" s="4"/>
    </row>
    <row r="79" spans="1:2" x14ac:dyDescent="0.2">
      <c r="A79" s="5"/>
      <c r="B79" s="4"/>
    </row>
    <row r="80" spans="1:2" x14ac:dyDescent="0.2">
      <c r="A80" s="5"/>
      <c r="B80" s="4"/>
    </row>
    <row r="81" spans="1:2" x14ac:dyDescent="0.2">
      <c r="A81" s="5"/>
      <c r="B81" s="4"/>
    </row>
    <row r="82" spans="1:2" x14ac:dyDescent="0.2">
      <c r="A82" s="5"/>
      <c r="B82" s="4"/>
    </row>
    <row r="83" spans="1:2" x14ac:dyDescent="0.2">
      <c r="A83" s="5"/>
      <c r="B83" s="4"/>
    </row>
    <row r="84" spans="1:2" x14ac:dyDescent="0.2">
      <c r="A84" s="5"/>
      <c r="B84" s="4"/>
    </row>
    <row r="85" spans="1:2" x14ac:dyDescent="0.2">
      <c r="A85" s="5"/>
      <c r="B85" s="4"/>
    </row>
    <row r="86" spans="1:2" x14ac:dyDescent="0.2">
      <c r="A86" s="5"/>
      <c r="B86" s="4"/>
    </row>
    <row r="87" spans="1:2" x14ac:dyDescent="0.2">
      <c r="A87" s="5"/>
      <c r="B87" s="4"/>
    </row>
    <row r="88" spans="1:2" x14ac:dyDescent="0.2">
      <c r="A88" s="5"/>
      <c r="B88" s="4"/>
    </row>
    <row r="89" spans="1:2" x14ac:dyDescent="0.2">
      <c r="A89" s="5"/>
      <c r="B89" s="4"/>
    </row>
    <row r="90" spans="1:2" x14ac:dyDescent="0.2">
      <c r="A90" s="5"/>
      <c r="B90" s="4"/>
    </row>
    <row r="91" spans="1:2" x14ac:dyDescent="0.2">
      <c r="A91" s="5"/>
      <c r="B91" s="4"/>
    </row>
    <row r="92" spans="1:2" x14ac:dyDescent="0.2">
      <c r="A92" s="5"/>
      <c r="B92" s="4"/>
    </row>
    <row r="93" spans="1:2" x14ac:dyDescent="0.2">
      <c r="A93" s="5"/>
      <c r="B93" s="4"/>
    </row>
    <row r="94" spans="1:2" x14ac:dyDescent="0.2">
      <c r="A94" s="5"/>
      <c r="B94" s="4"/>
    </row>
    <row r="95" spans="1:2" x14ac:dyDescent="0.2">
      <c r="A95" s="5"/>
      <c r="B95" s="4"/>
    </row>
    <row r="96" spans="1:2" x14ac:dyDescent="0.2">
      <c r="A96" s="5"/>
      <c r="B96" s="4"/>
    </row>
    <row r="97" spans="1:2" x14ac:dyDescent="0.2">
      <c r="A97" s="5"/>
      <c r="B97" s="4"/>
    </row>
    <row r="98" spans="1:2" x14ac:dyDescent="0.2">
      <c r="A98" s="5"/>
      <c r="B98" s="4"/>
    </row>
    <row r="99" spans="1:2" x14ac:dyDescent="0.2">
      <c r="A99" s="5"/>
      <c r="B99" s="4"/>
    </row>
    <row r="100" spans="1:2" x14ac:dyDescent="0.2">
      <c r="A100" s="5"/>
      <c r="B100" s="4"/>
    </row>
    <row r="101" spans="1:2" x14ac:dyDescent="0.2">
      <c r="A101" s="5"/>
      <c r="B101" s="4"/>
    </row>
    <row r="102" spans="1:2" x14ac:dyDescent="0.2">
      <c r="A102" s="5"/>
      <c r="B102" s="4"/>
    </row>
    <row r="103" spans="1:2" x14ac:dyDescent="0.2">
      <c r="A103" s="5"/>
      <c r="B103" s="4"/>
    </row>
    <row r="104" spans="1:2" x14ac:dyDescent="0.2">
      <c r="A104" s="5"/>
      <c r="B104" s="4"/>
    </row>
    <row r="105" spans="1:2" x14ac:dyDescent="0.2">
      <c r="A105" s="5"/>
      <c r="B105" s="4"/>
    </row>
    <row r="106" spans="1:2" x14ac:dyDescent="0.2">
      <c r="A106" s="5"/>
      <c r="B106" s="4"/>
    </row>
    <row r="107" spans="1:2" x14ac:dyDescent="0.2">
      <c r="A107" s="5"/>
      <c r="B107" s="4"/>
    </row>
    <row r="108" spans="1:2" x14ac:dyDescent="0.2">
      <c r="A108" s="5"/>
      <c r="B108" s="4"/>
    </row>
    <row r="109" spans="1:2" x14ac:dyDescent="0.2">
      <c r="A109" s="5"/>
      <c r="B109" s="4"/>
    </row>
    <row r="110" spans="1:2" x14ac:dyDescent="0.2">
      <c r="A110" s="5"/>
      <c r="B110" s="4"/>
    </row>
    <row r="111" spans="1:2" x14ac:dyDescent="0.2">
      <c r="A111" s="5"/>
      <c r="B111" s="4"/>
    </row>
    <row r="112" spans="1:2" x14ac:dyDescent="0.2">
      <c r="A112" s="5"/>
      <c r="B112" s="4"/>
    </row>
    <row r="113" spans="1:2" x14ac:dyDescent="0.2">
      <c r="A113" s="5"/>
      <c r="B113" s="4"/>
    </row>
    <row r="114" spans="1:2" x14ac:dyDescent="0.2">
      <c r="A114" s="5"/>
      <c r="B114" s="4"/>
    </row>
    <row r="115" spans="1:2" x14ac:dyDescent="0.2">
      <c r="A115" s="5"/>
      <c r="B115" s="4"/>
    </row>
    <row r="116" spans="1:2" x14ac:dyDescent="0.2">
      <c r="A116" s="5"/>
      <c r="B116" s="4"/>
    </row>
    <row r="117" spans="1:2" x14ac:dyDescent="0.2">
      <c r="A117" s="5"/>
      <c r="B117" s="4"/>
    </row>
    <row r="118" spans="1:2" x14ac:dyDescent="0.2">
      <c r="A118" s="5"/>
      <c r="B118" s="4"/>
    </row>
    <row r="119" spans="1:2" x14ac:dyDescent="0.2">
      <c r="A119" s="5"/>
      <c r="B119" s="4"/>
    </row>
    <row r="120" spans="1:2" x14ac:dyDescent="0.2">
      <c r="A120" s="5"/>
      <c r="B120" s="4"/>
    </row>
    <row r="121" spans="1:2" x14ac:dyDescent="0.2">
      <c r="A121" s="5"/>
      <c r="B121" s="4"/>
    </row>
    <row r="122" spans="1:2" x14ac:dyDescent="0.2">
      <c r="A122" s="5"/>
      <c r="B122" s="4"/>
    </row>
    <row r="123" spans="1:2" x14ac:dyDescent="0.2">
      <c r="A123" s="5"/>
      <c r="B123" s="4"/>
    </row>
    <row r="124" spans="1:2" x14ac:dyDescent="0.2">
      <c r="A124" s="5"/>
      <c r="B124" s="4"/>
    </row>
    <row r="125" spans="1:2" x14ac:dyDescent="0.2">
      <c r="A125" s="5"/>
      <c r="B125" s="4"/>
    </row>
    <row r="126" spans="1:2" x14ac:dyDescent="0.2">
      <c r="A126" s="5"/>
      <c r="B126" s="4"/>
    </row>
    <row r="127" spans="1:2" x14ac:dyDescent="0.2">
      <c r="A127" s="5"/>
      <c r="B127" s="4"/>
    </row>
    <row r="128" spans="1:2" x14ac:dyDescent="0.2">
      <c r="A128" s="5"/>
      <c r="B128" s="4"/>
    </row>
    <row r="129" spans="1:2" x14ac:dyDescent="0.2">
      <c r="A129" s="5"/>
      <c r="B129" s="4"/>
    </row>
    <row r="130" spans="1:2" x14ac:dyDescent="0.2">
      <c r="A130" s="5"/>
      <c r="B130" s="4"/>
    </row>
    <row r="131" spans="1:2" x14ac:dyDescent="0.2">
      <c r="A131" s="5"/>
      <c r="B131" s="4"/>
    </row>
    <row r="132" spans="1:2" x14ac:dyDescent="0.2">
      <c r="A132" s="5"/>
      <c r="B132" s="4"/>
    </row>
    <row r="133" spans="1:2" x14ac:dyDescent="0.2">
      <c r="A133" s="5"/>
      <c r="B133" s="4"/>
    </row>
    <row r="134" spans="1:2" x14ac:dyDescent="0.2">
      <c r="A134" s="5"/>
      <c r="B134" s="4"/>
    </row>
    <row r="135" spans="1:2" x14ac:dyDescent="0.2">
      <c r="A135" s="5"/>
      <c r="B135" s="4"/>
    </row>
    <row r="136" spans="1:2" x14ac:dyDescent="0.2">
      <c r="A136" s="5"/>
      <c r="B136" s="4"/>
    </row>
    <row r="137" spans="1:2" x14ac:dyDescent="0.2">
      <c r="A137" s="5"/>
      <c r="B137" s="4"/>
    </row>
    <row r="138" spans="1:2" x14ac:dyDescent="0.2">
      <c r="A138" s="5"/>
      <c r="B138" s="4"/>
    </row>
    <row r="139" spans="1:2" x14ac:dyDescent="0.2">
      <c r="A139" s="5"/>
      <c r="B139" s="4"/>
    </row>
    <row r="140" spans="1:2" x14ac:dyDescent="0.2">
      <c r="A140" s="5"/>
      <c r="B140" s="4"/>
    </row>
    <row r="141" spans="1:2" x14ac:dyDescent="0.2">
      <c r="A141" s="5"/>
      <c r="B141" s="4"/>
    </row>
    <row r="142" spans="1:2" x14ac:dyDescent="0.2">
      <c r="A142" s="5"/>
      <c r="B142" s="4"/>
    </row>
    <row r="143" spans="1:2" x14ac:dyDescent="0.2">
      <c r="A143" s="5"/>
      <c r="B143" s="4"/>
    </row>
    <row r="144" spans="1:2" x14ac:dyDescent="0.2">
      <c r="A144" s="5"/>
      <c r="B144" s="4"/>
    </row>
    <row r="145" spans="1:2" x14ac:dyDescent="0.2">
      <c r="A145" s="5"/>
      <c r="B145" s="4"/>
    </row>
    <row r="146" spans="1:2" x14ac:dyDescent="0.2">
      <c r="A146" s="5"/>
      <c r="B146" s="4"/>
    </row>
    <row r="147" spans="1:2" x14ac:dyDescent="0.2">
      <c r="A147" s="5"/>
      <c r="B147" s="4"/>
    </row>
    <row r="148" spans="1:2" x14ac:dyDescent="0.2">
      <c r="A148" s="5"/>
      <c r="B148" s="4"/>
    </row>
    <row r="149" spans="1:2" x14ac:dyDescent="0.2">
      <c r="A149" s="5"/>
      <c r="B149" s="4"/>
    </row>
    <row r="150" spans="1:2" x14ac:dyDescent="0.2">
      <c r="A150" s="5"/>
      <c r="B150" s="4"/>
    </row>
    <row r="151" spans="1:2" x14ac:dyDescent="0.2">
      <c r="A151" s="5"/>
      <c r="B151" s="4"/>
    </row>
    <row r="152" spans="1:2" x14ac:dyDescent="0.2">
      <c r="A152" s="5"/>
      <c r="B152" s="4"/>
    </row>
    <row r="153" spans="1:2" x14ac:dyDescent="0.2">
      <c r="A153" s="5"/>
      <c r="B153" s="4"/>
    </row>
    <row r="154" spans="1:2" x14ac:dyDescent="0.2">
      <c r="A154" s="5"/>
      <c r="B154" s="4"/>
    </row>
    <row r="155" spans="1:2" x14ac:dyDescent="0.2">
      <c r="A155" s="5"/>
      <c r="B155" s="4"/>
    </row>
    <row r="156" spans="1:2" x14ac:dyDescent="0.2">
      <c r="A156" s="5"/>
      <c r="B156" s="4"/>
    </row>
    <row r="157" spans="1:2" x14ac:dyDescent="0.2">
      <c r="A157" s="5"/>
      <c r="B157" s="4"/>
    </row>
    <row r="158" spans="1:2" x14ac:dyDescent="0.2">
      <c r="A158" s="5"/>
      <c r="B158" s="4"/>
    </row>
    <row r="159" spans="1:2" x14ac:dyDescent="0.2">
      <c r="A159" s="5"/>
      <c r="B159" s="4"/>
    </row>
    <row r="160" spans="1:2" x14ac:dyDescent="0.2">
      <c r="A160" s="5"/>
      <c r="B160" s="4"/>
    </row>
    <row r="161" spans="1:2" x14ac:dyDescent="0.2">
      <c r="A161" s="5"/>
      <c r="B161" s="4"/>
    </row>
    <row r="162" spans="1:2" x14ac:dyDescent="0.2">
      <c r="A162" s="5"/>
      <c r="B162" s="4"/>
    </row>
    <row r="163" spans="1:2" x14ac:dyDescent="0.2">
      <c r="A163" s="5"/>
      <c r="B163" s="4"/>
    </row>
    <row r="164" spans="1:2" x14ac:dyDescent="0.2">
      <c r="A164" s="5"/>
      <c r="B164" s="4"/>
    </row>
    <row r="165" spans="1:2" x14ac:dyDescent="0.2">
      <c r="A165" s="5"/>
      <c r="B165" s="4"/>
    </row>
    <row r="166" spans="1:2" x14ac:dyDescent="0.2">
      <c r="A166" s="5"/>
      <c r="B166" s="4"/>
    </row>
    <row r="167" spans="1:2" x14ac:dyDescent="0.2">
      <c r="A167" s="5"/>
      <c r="B167" s="4"/>
    </row>
    <row r="168" spans="1:2" x14ac:dyDescent="0.2">
      <c r="A168" s="5"/>
      <c r="B168" s="4"/>
    </row>
    <row r="169" spans="1:2" x14ac:dyDescent="0.2">
      <c r="A169" s="5"/>
      <c r="B169" s="4"/>
    </row>
    <row r="170" spans="1:2" x14ac:dyDescent="0.2">
      <c r="A170" s="5"/>
      <c r="B170" s="4"/>
    </row>
    <row r="171" spans="1:2" x14ac:dyDescent="0.2">
      <c r="A171" s="5"/>
      <c r="B171" s="4"/>
    </row>
    <row r="172" spans="1:2" x14ac:dyDescent="0.2">
      <c r="A172" s="5"/>
      <c r="B172" s="4"/>
    </row>
    <row r="173" spans="1:2" x14ac:dyDescent="0.2">
      <c r="A173" s="5"/>
      <c r="B173" s="4"/>
    </row>
    <row r="174" spans="1:2" x14ac:dyDescent="0.2">
      <c r="A174" s="5"/>
      <c r="B174" s="4"/>
    </row>
    <row r="175" spans="1:2" x14ac:dyDescent="0.2">
      <c r="A175" s="5"/>
      <c r="B175" s="4"/>
    </row>
    <row r="176" spans="1:2" x14ac:dyDescent="0.2">
      <c r="A176" s="5"/>
      <c r="B176" s="4"/>
    </row>
    <row r="177" spans="1:2" x14ac:dyDescent="0.2">
      <c r="A177" s="5"/>
      <c r="B177" s="4"/>
    </row>
    <row r="178" spans="1:2" x14ac:dyDescent="0.2">
      <c r="A178" s="5"/>
      <c r="B178" s="4"/>
    </row>
    <row r="179" spans="1:2" x14ac:dyDescent="0.2">
      <c r="A179" s="5"/>
      <c r="B179" s="4"/>
    </row>
    <row r="180" spans="1:2" x14ac:dyDescent="0.2">
      <c r="A180" s="5"/>
      <c r="B180" s="4"/>
    </row>
    <row r="181" spans="1:2" x14ac:dyDescent="0.2">
      <c r="A181" s="5"/>
      <c r="B181" s="4"/>
    </row>
    <row r="182" spans="1:2" x14ac:dyDescent="0.2">
      <c r="A182" s="5"/>
      <c r="B182" s="4"/>
    </row>
    <row r="183" spans="1:2" x14ac:dyDescent="0.2">
      <c r="A183" s="5"/>
      <c r="B183" s="4"/>
    </row>
    <row r="184" spans="1:2" x14ac:dyDescent="0.2">
      <c r="A184" s="5"/>
      <c r="B184" s="4"/>
    </row>
    <row r="185" spans="1:2" x14ac:dyDescent="0.2">
      <c r="A185" s="5"/>
      <c r="B185" s="4"/>
    </row>
    <row r="186" spans="1:2" x14ac:dyDescent="0.2">
      <c r="A186" s="5"/>
      <c r="B186" s="4"/>
    </row>
    <row r="187" spans="1:2" x14ac:dyDescent="0.2">
      <c r="A187" s="5"/>
      <c r="B187" s="4"/>
    </row>
    <row r="188" spans="1:2" x14ac:dyDescent="0.2">
      <c r="A188" s="5"/>
      <c r="B188" s="4"/>
    </row>
    <row r="189" spans="1:2" x14ac:dyDescent="0.2">
      <c r="A189" s="5"/>
      <c r="B189" s="4"/>
    </row>
    <row r="190" spans="1:2" x14ac:dyDescent="0.2">
      <c r="A190" s="5"/>
      <c r="B190" s="4"/>
    </row>
    <row r="191" spans="1:2" x14ac:dyDescent="0.2">
      <c r="A191" s="5"/>
      <c r="B191" s="4"/>
    </row>
    <row r="192" spans="1:2" x14ac:dyDescent="0.2">
      <c r="A192" s="5"/>
      <c r="B192" s="4"/>
    </row>
    <row r="193" spans="1:2" x14ac:dyDescent="0.2">
      <c r="A193" s="5"/>
      <c r="B193" s="4"/>
    </row>
    <row r="194" spans="1:2" x14ac:dyDescent="0.2">
      <c r="A194" s="5"/>
      <c r="B194" s="4"/>
    </row>
    <row r="195" spans="1:2" x14ac:dyDescent="0.2">
      <c r="A195" s="5"/>
      <c r="B195" s="4"/>
    </row>
    <row r="196" spans="1:2" x14ac:dyDescent="0.2">
      <c r="A196" s="5"/>
      <c r="B196" s="4"/>
    </row>
    <row r="197" spans="1:2" x14ac:dyDescent="0.2">
      <c r="A197" s="5"/>
      <c r="B197" s="4"/>
    </row>
    <row r="198" spans="1:2" x14ac:dyDescent="0.2">
      <c r="A198" s="5"/>
      <c r="B198" s="4"/>
    </row>
    <row r="199" spans="1:2" x14ac:dyDescent="0.2">
      <c r="A199" s="5"/>
      <c r="B199" s="4"/>
    </row>
    <row r="200" spans="1:2" x14ac:dyDescent="0.2">
      <c r="A200" s="5"/>
      <c r="B200" s="4"/>
    </row>
    <row r="201" spans="1:2" x14ac:dyDescent="0.2">
      <c r="A201" s="5"/>
      <c r="B201" s="4"/>
    </row>
    <row r="202" spans="1:2" x14ac:dyDescent="0.2">
      <c r="A202" s="5"/>
      <c r="B202" s="4"/>
    </row>
    <row r="203" spans="1:2" x14ac:dyDescent="0.2">
      <c r="A203" s="5"/>
      <c r="B203" s="4"/>
    </row>
    <row r="204" spans="1:2" x14ac:dyDescent="0.2">
      <c r="A204" s="5"/>
      <c r="B204" s="4"/>
    </row>
    <row r="205" spans="1:2" x14ac:dyDescent="0.2">
      <c r="A205" s="5"/>
      <c r="B205" s="4"/>
    </row>
    <row r="206" spans="1:2" x14ac:dyDescent="0.2">
      <c r="A206" s="5"/>
      <c r="B206" s="4"/>
    </row>
    <row r="207" spans="1:2" x14ac:dyDescent="0.2">
      <c r="A207" s="5"/>
      <c r="B207" s="4"/>
    </row>
    <row r="208" spans="1:2" x14ac:dyDescent="0.2">
      <c r="A208" s="5"/>
      <c r="B208" s="4"/>
    </row>
    <row r="209" spans="1:2" x14ac:dyDescent="0.2">
      <c r="A209" s="5"/>
      <c r="B209" s="4"/>
    </row>
    <row r="210" spans="1:2" x14ac:dyDescent="0.2">
      <c r="A210" s="5"/>
      <c r="B210" s="4"/>
    </row>
    <row r="211" spans="1:2" x14ac:dyDescent="0.2">
      <c r="A211" s="5"/>
      <c r="B211" s="4"/>
    </row>
    <row r="212" spans="1:2" x14ac:dyDescent="0.2">
      <c r="A212" s="5"/>
      <c r="B212" s="4"/>
    </row>
    <row r="213" spans="1:2" x14ac:dyDescent="0.2">
      <c r="A213" s="5"/>
      <c r="B213" s="4"/>
    </row>
    <row r="214" spans="1:2" x14ac:dyDescent="0.2">
      <c r="A214" s="5"/>
      <c r="B214" s="4"/>
    </row>
    <row r="215" spans="1:2" x14ac:dyDescent="0.2">
      <c r="A215" s="5"/>
      <c r="B215" s="4"/>
    </row>
    <row r="216" spans="1:2" x14ac:dyDescent="0.2">
      <c r="A216" s="5"/>
      <c r="B216" s="4"/>
    </row>
    <row r="217" spans="1:2" x14ac:dyDescent="0.2">
      <c r="A217" s="5"/>
      <c r="B217" s="4"/>
    </row>
    <row r="218" spans="1:2" x14ac:dyDescent="0.2">
      <c r="A218" s="5"/>
      <c r="B218" s="4"/>
    </row>
    <row r="219" spans="1:2" x14ac:dyDescent="0.2">
      <c r="A219" s="5"/>
      <c r="B219" s="4"/>
    </row>
    <row r="220" spans="1:2" x14ac:dyDescent="0.2">
      <c r="A220" s="5"/>
      <c r="B220" s="4"/>
    </row>
    <row r="221" spans="1:2" x14ac:dyDescent="0.2">
      <c r="A221" s="5"/>
      <c r="B221" s="4"/>
    </row>
    <row r="222" spans="1:2" x14ac:dyDescent="0.2">
      <c r="A222" s="5"/>
      <c r="B222" s="4"/>
    </row>
    <row r="223" spans="1:2" x14ac:dyDescent="0.2">
      <c r="A223" s="5"/>
      <c r="B223" s="4"/>
    </row>
    <row r="224" spans="1:2" x14ac:dyDescent="0.2">
      <c r="A224" s="5"/>
      <c r="B224" s="4"/>
    </row>
    <row r="225" spans="1:2" x14ac:dyDescent="0.2">
      <c r="A225" s="5"/>
      <c r="B225" s="4"/>
    </row>
    <row r="226" spans="1:2" x14ac:dyDescent="0.2">
      <c r="A226" s="5"/>
      <c r="B226" s="4"/>
    </row>
    <row r="227" spans="1:2" x14ac:dyDescent="0.2">
      <c r="A227" s="5"/>
      <c r="B227" s="4"/>
    </row>
    <row r="228" spans="1:2" x14ac:dyDescent="0.2">
      <c r="A228" s="5"/>
      <c r="B228" s="4"/>
    </row>
    <row r="229" spans="1:2" x14ac:dyDescent="0.2">
      <c r="A229" s="5"/>
      <c r="B229" s="4"/>
    </row>
    <row r="230" spans="1:2" x14ac:dyDescent="0.2">
      <c r="A230" s="5"/>
      <c r="B230" s="4"/>
    </row>
    <row r="231" spans="1:2" x14ac:dyDescent="0.2">
      <c r="A231" s="5"/>
      <c r="B231" s="4"/>
    </row>
    <row r="232" spans="1:2" x14ac:dyDescent="0.2">
      <c r="A232" s="5"/>
      <c r="B232" s="4"/>
    </row>
    <row r="233" spans="1:2" x14ac:dyDescent="0.2">
      <c r="A233" s="5"/>
      <c r="B233" s="4"/>
    </row>
    <row r="234" spans="1:2" x14ac:dyDescent="0.2">
      <c r="A234" s="5"/>
      <c r="B234" s="4"/>
    </row>
    <row r="235" spans="1:2" x14ac:dyDescent="0.2">
      <c r="A235" s="5"/>
      <c r="B235" s="4"/>
    </row>
    <row r="236" spans="1:2" x14ac:dyDescent="0.2">
      <c r="A236" s="5"/>
      <c r="B236" s="4"/>
    </row>
    <row r="237" spans="1:2" x14ac:dyDescent="0.2">
      <c r="A237" s="5"/>
      <c r="B237" s="4"/>
    </row>
    <row r="238" spans="1:2" x14ac:dyDescent="0.2">
      <c r="A238" s="5"/>
      <c r="B238" s="4"/>
    </row>
    <row r="239" spans="1:2" x14ac:dyDescent="0.2">
      <c r="A239" s="5"/>
      <c r="B239" s="4"/>
    </row>
    <row r="240" spans="1:2" x14ac:dyDescent="0.2">
      <c r="A240" s="5"/>
      <c r="B240" s="4"/>
    </row>
    <row r="241" spans="1:2" x14ac:dyDescent="0.2">
      <c r="A241" s="5"/>
      <c r="B241" s="4"/>
    </row>
    <row r="242" spans="1:2" x14ac:dyDescent="0.2">
      <c r="A242" s="5"/>
      <c r="B242" s="4"/>
    </row>
    <row r="243" spans="1:2" x14ac:dyDescent="0.2">
      <c r="A243" s="5"/>
      <c r="B243" s="4"/>
    </row>
    <row r="244" spans="1:2" x14ac:dyDescent="0.2">
      <c r="A244" s="5"/>
      <c r="B244" s="4"/>
    </row>
    <row r="245" spans="1:2" x14ac:dyDescent="0.2">
      <c r="A245" s="5"/>
      <c r="B245" s="4"/>
    </row>
    <row r="246" spans="1:2" x14ac:dyDescent="0.2">
      <c r="A246" s="5"/>
      <c r="B246" s="4"/>
    </row>
    <row r="247" spans="1:2" x14ac:dyDescent="0.2">
      <c r="A247" s="5"/>
      <c r="B247" s="4"/>
    </row>
    <row r="248" spans="1:2" x14ac:dyDescent="0.2">
      <c r="A248" s="5"/>
      <c r="B248" s="4"/>
    </row>
    <row r="249" spans="1:2" x14ac:dyDescent="0.2">
      <c r="A249" s="5"/>
      <c r="B249" s="4"/>
    </row>
    <row r="250" spans="1:2" x14ac:dyDescent="0.2">
      <c r="A250" s="5"/>
      <c r="B250" s="4"/>
    </row>
    <row r="251" spans="1:2" x14ac:dyDescent="0.2">
      <c r="A251" s="5"/>
      <c r="B251" s="4"/>
    </row>
    <row r="252" spans="1:2" x14ac:dyDescent="0.2">
      <c r="A252" s="5"/>
      <c r="B252" s="4"/>
    </row>
    <row r="253" spans="1:2" x14ac:dyDescent="0.2">
      <c r="A253" s="5"/>
      <c r="B253" s="4"/>
    </row>
    <row r="254" spans="1:2" x14ac:dyDescent="0.2">
      <c r="A254" s="5"/>
      <c r="B254" s="4"/>
    </row>
    <row r="255" spans="1:2" x14ac:dyDescent="0.2">
      <c r="A255" s="5"/>
      <c r="B255" s="4"/>
    </row>
    <row r="256" spans="1:2" x14ac:dyDescent="0.2">
      <c r="A256" s="5"/>
      <c r="B256" s="4"/>
    </row>
    <row r="257" spans="1:2" x14ac:dyDescent="0.2">
      <c r="A257" s="5"/>
      <c r="B257" s="4"/>
    </row>
    <row r="258" spans="1:2" x14ac:dyDescent="0.2">
      <c r="A258" s="5"/>
      <c r="B258" s="4"/>
    </row>
    <row r="259" spans="1:2" x14ac:dyDescent="0.2">
      <c r="A259" s="5"/>
      <c r="B259" s="4"/>
    </row>
    <row r="260" spans="1:2" x14ac:dyDescent="0.2">
      <c r="A260" s="5"/>
      <c r="B260" s="4"/>
    </row>
    <row r="261" spans="1:2" x14ac:dyDescent="0.2">
      <c r="A261" s="5"/>
      <c r="B261" s="4"/>
    </row>
    <row r="262" spans="1:2" x14ac:dyDescent="0.2">
      <c r="A262" s="5"/>
      <c r="B262" s="4"/>
    </row>
    <row r="263" spans="1:2" x14ac:dyDescent="0.2">
      <c r="A263" s="5"/>
      <c r="B263" s="4"/>
    </row>
    <row r="264" spans="1:2" x14ac:dyDescent="0.2">
      <c r="A264" s="5"/>
      <c r="B264" s="4"/>
    </row>
    <row r="265" spans="1:2" x14ac:dyDescent="0.2">
      <c r="A265" s="5"/>
      <c r="B265" s="4"/>
    </row>
    <row r="266" spans="1:2" x14ac:dyDescent="0.2">
      <c r="A266" s="5"/>
      <c r="B266" s="4"/>
    </row>
    <row r="267" spans="1:2" x14ac:dyDescent="0.2">
      <c r="A267" s="5"/>
      <c r="B267" s="4"/>
    </row>
    <row r="268" spans="1:2" x14ac:dyDescent="0.2">
      <c r="A268" s="5"/>
      <c r="B268" s="4"/>
    </row>
    <row r="269" spans="1:2" x14ac:dyDescent="0.2">
      <c r="A269" s="5"/>
      <c r="B269" s="4"/>
    </row>
    <row r="270" spans="1:2" x14ac:dyDescent="0.2">
      <c r="A270" s="5"/>
      <c r="B270" s="4"/>
    </row>
    <row r="271" spans="1:2" x14ac:dyDescent="0.2">
      <c r="A271" s="5"/>
      <c r="B271" s="4"/>
    </row>
    <row r="272" spans="1:2" x14ac:dyDescent="0.2">
      <c r="A272" s="5"/>
      <c r="B272" s="4"/>
    </row>
    <row r="273" spans="1:2" x14ac:dyDescent="0.2">
      <c r="A273" s="5"/>
      <c r="B273" s="4"/>
    </row>
    <row r="274" spans="1:2" x14ac:dyDescent="0.2">
      <c r="A274" s="5"/>
      <c r="B274" s="4"/>
    </row>
    <row r="275" spans="1:2" x14ac:dyDescent="0.2">
      <c r="A275" s="5"/>
      <c r="B275" s="4"/>
    </row>
    <row r="276" spans="1:2" x14ac:dyDescent="0.2">
      <c r="A276" s="5"/>
      <c r="B276" s="4"/>
    </row>
    <row r="277" spans="1:2" x14ac:dyDescent="0.2">
      <c r="A277" s="5"/>
      <c r="B277" s="4"/>
    </row>
    <row r="278" spans="1:2" x14ac:dyDescent="0.2">
      <c r="A278" s="5"/>
      <c r="B278" s="4"/>
    </row>
    <row r="279" spans="1:2" x14ac:dyDescent="0.2">
      <c r="A279" s="5"/>
      <c r="B279" s="4"/>
    </row>
    <row r="280" spans="1:2" x14ac:dyDescent="0.2">
      <c r="A280" s="5"/>
      <c r="B280" s="4"/>
    </row>
    <row r="281" spans="1:2" x14ac:dyDescent="0.2">
      <c r="A281" s="5"/>
      <c r="B281" s="4"/>
    </row>
    <row r="282" spans="1:2" x14ac:dyDescent="0.2">
      <c r="A282" s="5"/>
      <c r="B282" s="4"/>
    </row>
    <row r="283" spans="1:2" x14ac:dyDescent="0.2">
      <c r="A283" s="5"/>
      <c r="B283" s="4"/>
    </row>
    <row r="284" spans="1:2" x14ac:dyDescent="0.2">
      <c r="A284" s="5"/>
      <c r="B284" s="4"/>
    </row>
    <row r="285" spans="1:2" x14ac:dyDescent="0.2">
      <c r="A285" s="5"/>
      <c r="B285" s="4"/>
    </row>
    <row r="286" spans="1:2" x14ac:dyDescent="0.2">
      <c r="A286" s="5"/>
      <c r="B286" s="4"/>
    </row>
    <row r="287" spans="1:2" x14ac:dyDescent="0.2">
      <c r="A287" s="5"/>
      <c r="B287" s="4"/>
    </row>
    <row r="288" spans="1:2" x14ac:dyDescent="0.2">
      <c r="A288" s="5"/>
      <c r="B288" s="4"/>
    </row>
    <row r="289" spans="1:2" x14ac:dyDescent="0.2">
      <c r="A289" s="5"/>
      <c r="B289" s="4"/>
    </row>
    <row r="290" spans="1:2" x14ac:dyDescent="0.2">
      <c r="A290" s="5"/>
      <c r="B290" s="4"/>
    </row>
    <row r="291" spans="1:2" x14ac:dyDescent="0.2">
      <c r="A291" s="5"/>
      <c r="B291" s="4"/>
    </row>
    <row r="292" spans="1:2" x14ac:dyDescent="0.2">
      <c r="A292" s="5"/>
      <c r="B292" s="4"/>
    </row>
    <row r="293" spans="1:2" x14ac:dyDescent="0.2">
      <c r="A293" s="5"/>
      <c r="B293" s="4"/>
    </row>
    <row r="294" spans="1:2" x14ac:dyDescent="0.2">
      <c r="A294" s="5"/>
      <c r="B294" s="4"/>
    </row>
    <row r="295" spans="1:2" x14ac:dyDescent="0.2">
      <c r="A295" s="5"/>
      <c r="B295" s="4"/>
    </row>
    <row r="296" spans="1:2" x14ac:dyDescent="0.2">
      <c r="A296" s="5"/>
      <c r="B296" s="4"/>
    </row>
    <row r="297" spans="1:2" x14ac:dyDescent="0.2">
      <c r="A297" s="5"/>
      <c r="B297" s="4"/>
    </row>
    <row r="298" spans="1:2" x14ac:dyDescent="0.2">
      <c r="A298" s="5"/>
      <c r="B298" s="4"/>
    </row>
    <row r="299" spans="1:2" x14ac:dyDescent="0.2">
      <c r="A299" s="5"/>
      <c r="B299" s="4"/>
    </row>
    <row r="300" spans="1:2" x14ac:dyDescent="0.2">
      <c r="A300" s="5"/>
      <c r="B300" s="4"/>
    </row>
    <row r="301" spans="1:2" x14ac:dyDescent="0.2">
      <c r="A301" s="5"/>
      <c r="B301" s="4"/>
    </row>
    <row r="302" spans="1:2" x14ac:dyDescent="0.2">
      <c r="A302" s="5"/>
      <c r="B302" s="4"/>
    </row>
    <row r="303" spans="1:2" x14ac:dyDescent="0.2">
      <c r="A303" s="5"/>
      <c r="B303" s="4"/>
    </row>
    <row r="304" spans="1:2" x14ac:dyDescent="0.2">
      <c r="A304" s="5"/>
      <c r="B304" s="4"/>
    </row>
    <row r="305" spans="1:2" x14ac:dyDescent="0.2">
      <c r="A305" s="5"/>
      <c r="B305" s="4"/>
    </row>
    <row r="306" spans="1:2" x14ac:dyDescent="0.2">
      <c r="A306" s="5"/>
      <c r="B306" s="4"/>
    </row>
    <row r="307" spans="1:2" x14ac:dyDescent="0.2">
      <c r="A307" s="5"/>
      <c r="B307" s="4"/>
    </row>
    <row r="308" spans="1:2" x14ac:dyDescent="0.2">
      <c r="A308" s="5"/>
      <c r="B308" s="4"/>
    </row>
    <row r="309" spans="1:2" x14ac:dyDescent="0.2">
      <c r="A309" s="5"/>
      <c r="B309" s="4"/>
    </row>
    <row r="310" spans="1:2" x14ac:dyDescent="0.2">
      <c r="A310" s="5"/>
      <c r="B310" s="4"/>
    </row>
    <row r="311" spans="1:2" x14ac:dyDescent="0.2">
      <c r="A311" s="5"/>
      <c r="B311" s="4"/>
    </row>
    <row r="312" spans="1:2" x14ac:dyDescent="0.2">
      <c r="A312" s="5"/>
      <c r="B312" s="4"/>
    </row>
    <row r="313" spans="1:2" x14ac:dyDescent="0.2">
      <c r="A313" s="5"/>
      <c r="B313" s="4"/>
    </row>
    <row r="314" spans="1:2" x14ac:dyDescent="0.2">
      <c r="A314" s="5"/>
      <c r="B314" s="4"/>
    </row>
    <row r="315" spans="1:2" x14ac:dyDescent="0.2">
      <c r="A315" s="5"/>
      <c r="B315" s="4"/>
    </row>
    <row r="316" spans="1:2" x14ac:dyDescent="0.2">
      <c r="A316" s="5"/>
      <c r="B316" s="4"/>
    </row>
    <row r="317" spans="1:2" x14ac:dyDescent="0.2">
      <c r="A317" s="5"/>
      <c r="B317" s="4"/>
    </row>
    <row r="318" spans="1:2" x14ac:dyDescent="0.2">
      <c r="A318" s="5"/>
      <c r="B318" s="4"/>
    </row>
    <row r="319" spans="1:2" x14ac:dyDescent="0.2">
      <c r="A319" s="5"/>
      <c r="B319" s="4"/>
    </row>
    <row r="320" spans="1:2" x14ac:dyDescent="0.2">
      <c r="A320" s="5"/>
      <c r="B320" s="4"/>
    </row>
    <row r="321" spans="1:2" x14ac:dyDescent="0.2">
      <c r="A321" s="5"/>
      <c r="B321" s="4"/>
    </row>
    <row r="322" spans="1:2" x14ac:dyDescent="0.2">
      <c r="A322" s="5"/>
      <c r="B322" s="4"/>
    </row>
    <row r="323" spans="1:2" x14ac:dyDescent="0.2">
      <c r="A323" s="5"/>
      <c r="B323" s="4"/>
    </row>
    <row r="324" spans="1:2" x14ac:dyDescent="0.2">
      <c r="A324" s="5"/>
      <c r="B324" s="4"/>
    </row>
    <row r="325" spans="1:2" x14ac:dyDescent="0.2">
      <c r="A325" s="5"/>
      <c r="B325" s="4"/>
    </row>
    <row r="326" spans="1:2" x14ac:dyDescent="0.2">
      <c r="A326" s="5"/>
      <c r="B326" s="4"/>
    </row>
    <row r="327" spans="1:2" x14ac:dyDescent="0.2">
      <c r="A327" s="5"/>
      <c r="B327" s="4"/>
    </row>
    <row r="328" spans="1:2" x14ac:dyDescent="0.2">
      <c r="A328" s="5"/>
      <c r="B328" s="4"/>
    </row>
    <row r="329" spans="1:2" x14ac:dyDescent="0.2">
      <c r="A329" s="5"/>
      <c r="B329" s="4"/>
    </row>
    <row r="330" spans="1:2" x14ac:dyDescent="0.2">
      <c r="A330" s="5"/>
      <c r="B330" s="4"/>
    </row>
    <row r="331" spans="1:2" x14ac:dyDescent="0.2">
      <c r="A331" s="5"/>
      <c r="B331" s="4"/>
    </row>
    <row r="332" spans="1:2" x14ac:dyDescent="0.2">
      <c r="A332" s="5"/>
      <c r="B332" s="4"/>
    </row>
    <row r="333" spans="1:2" x14ac:dyDescent="0.2">
      <c r="A333" s="5"/>
      <c r="B333" s="4"/>
    </row>
    <row r="334" spans="1:2" x14ac:dyDescent="0.2">
      <c r="A334" s="5"/>
      <c r="B334" s="4"/>
    </row>
    <row r="335" spans="1:2" x14ac:dyDescent="0.2">
      <c r="A335" s="5"/>
      <c r="B335" s="4"/>
    </row>
    <row r="336" spans="1:2" x14ac:dyDescent="0.2">
      <c r="A336" s="5"/>
      <c r="B336" s="4"/>
    </row>
    <row r="337" spans="1:2" x14ac:dyDescent="0.2">
      <c r="A337" s="5"/>
      <c r="B337" s="4"/>
    </row>
    <row r="338" spans="1:2" x14ac:dyDescent="0.2">
      <c r="A338" s="5"/>
      <c r="B338" s="4"/>
    </row>
    <row r="339" spans="1:2" x14ac:dyDescent="0.2">
      <c r="A339" s="5"/>
      <c r="B339" s="4"/>
    </row>
    <row r="340" spans="1:2" x14ac:dyDescent="0.2">
      <c r="A340" s="5"/>
      <c r="B340" s="4"/>
    </row>
    <row r="341" spans="1:2" x14ac:dyDescent="0.2">
      <c r="A341" s="5"/>
      <c r="B341" s="4"/>
    </row>
    <row r="342" spans="1:2" x14ac:dyDescent="0.2">
      <c r="A342" s="5"/>
      <c r="B342" s="4"/>
    </row>
    <row r="343" spans="1:2" x14ac:dyDescent="0.2">
      <c r="A343" s="5"/>
      <c r="B343" s="4"/>
    </row>
    <row r="344" spans="1:2" x14ac:dyDescent="0.2">
      <c r="A344" s="5"/>
      <c r="B344" s="4"/>
    </row>
    <row r="345" spans="1:2" x14ac:dyDescent="0.2">
      <c r="A345" s="5"/>
      <c r="B345" s="4"/>
    </row>
    <row r="346" spans="1:2" x14ac:dyDescent="0.2">
      <c r="A346" s="5"/>
      <c r="B346" s="4"/>
    </row>
    <row r="347" spans="1:2" x14ac:dyDescent="0.2">
      <c r="A347" s="5"/>
      <c r="B347" s="4"/>
    </row>
    <row r="348" spans="1:2" x14ac:dyDescent="0.2">
      <c r="A348" s="5"/>
      <c r="B348" s="4"/>
    </row>
    <row r="349" spans="1:2" x14ac:dyDescent="0.2">
      <c r="A349" s="5"/>
      <c r="B349" s="4"/>
    </row>
    <row r="350" spans="1:2" x14ac:dyDescent="0.2">
      <c r="A350" s="5"/>
      <c r="B350" s="4"/>
    </row>
    <row r="351" spans="1:2" x14ac:dyDescent="0.2">
      <c r="A351" s="5"/>
      <c r="B351" s="4"/>
    </row>
    <row r="352" spans="1:2" x14ac:dyDescent="0.2">
      <c r="A352" s="5"/>
      <c r="B352" s="4"/>
    </row>
    <row r="353" spans="1:2" x14ac:dyDescent="0.2">
      <c r="A353" s="5"/>
      <c r="B353" s="4"/>
    </row>
    <row r="354" spans="1:2" x14ac:dyDescent="0.2">
      <c r="A354" s="5"/>
      <c r="B354" s="4"/>
    </row>
    <row r="355" spans="1:2" x14ac:dyDescent="0.2">
      <c r="A355" s="5"/>
      <c r="B355" s="4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357"/>
  <sheetViews>
    <sheetView workbookViewId="0">
      <selection activeCell="D23" sqref="D23"/>
    </sheetView>
  </sheetViews>
  <sheetFormatPr defaultRowHeight="12.75" x14ac:dyDescent="0.2"/>
  <cols>
    <col min="1" max="1" width="19.7109375" customWidth="1"/>
    <col min="2" max="2" width="12" customWidth="1"/>
    <col min="3" max="3" width="30" bestFit="1" customWidth="1"/>
  </cols>
  <sheetData>
    <row r="1" spans="1:3" ht="35.25" customHeight="1" x14ac:dyDescent="0.25">
      <c r="A1" s="100" t="s">
        <v>14</v>
      </c>
      <c r="B1" s="100"/>
      <c r="C1" s="100"/>
    </row>
    <row r="2" spans="1:3" x14ac:dyDescent="0.2">
      <c r="A2" t="s">
        <v>0</v>
      </c>
      <c r="B2" s="4">
        <v>100000</v>
      </c>
    </row>
    <row r="3" spans="1:3" x14ac:dyDescent="0.2">
      <c r="A3" t="s">
        <v>1</v>
      </c>
      <c r="B3">
        <v>1</v>
      </c>
    </row>
    <row r="4" spans="1:3" x14ac:dyDescent="0.2">
      <c r="A4" t="s">
        <v>2</v>
      </c>
      <c r="B4" s="2">
        <v>0.08</v>
      </c>
    </row>
    <row r="5" spans="1:3" x14ac:dyDescent="0.2">
      <c r="A5" t="s">
        <v>12</v>
      </c>
      <c r="B5" s="19">
        <v>1</v>
      </c>
    </row>
    <row r="6" spans="1:3" x14ac:dyDescent="0.2">
      <c r="A6" t="s">
        <v>13</v>
      </c>
      <c r="B6" s="9">
        <v>5.0000000000000001E-3</v>
      </c>
    </row>
    <row r="8" spans="1:3" x14ac:dyDescent="0.2">
      <c r="A8" s="6" t="s">
        <v>3</v>
      </c>
      <c r="B8" s="7" t="s">
        <v>4</v>
      </c>
    </row>
    <row r="9" spans="1:3" x14ac:dyDescent="0.2">
      <c r="A9" s="5">
        <v>0</v>
      </c>
      <c r="B9" s="18">
        <f>B2*(1-B5/100-B6)</f>
        <v>98500</v>
      </c>
      <c r="C9" t="e">
        <f ca="1">"&lt;-- "&amp;_xlfn.FORMULATEXT(B9)</f>
        <v>#NAME?</v>
      </c>
    </row>
    <row r="10" spans="1:3" x14ac:dyDescent="0.2">
      <c r="A10" s="5">
        <v>1</v>
      </c>
      <c r="B10" s="4">
        <f t="shared" ref="B10:B21" si="0">PMT($B$4/12,$B$3*12,$B$2)</f>
        <v>-8698.8429085421067</v>
      </c>
      <c r="C10" t="e">
        <f ca="1">"&lt;-- "&amp;_xlfn.FORMULATEXT(B10)</f>
        <v>#NAME?</v>
      </c>
    </row>
    <row r="11" spans="1:3" x14ac:dyDescent="0.2">
      <c r="A11" s="5">
        <v>2</v>
      </c>
      <c r="B11" s="4">
        <f t="shared" si="0"/>
        <v>-8698.8429085421067</v>
      </c>
    </row>
    <row r="12" spans="1:3" x14ac:dyDescent="0.2">
      <c r="A12" s="5">
        <v>3</v>
      </c>
      <c r="B12" s="4">
        <f t="shared" si="0"/>
        <v>-8698.8429085421067</v>
      </c>
    </row>
    <row r="13" spans="1:3" x14ac:dyDescent="0.2">
      <c r="A13" s="5">
        <v>4</v>
      </c>
      <c r="B13" s="4">
        <f t="shared" si="0"/>
        <v>-8698.8429085421067</v>
      </c>
    </row>
    <row r="14" spans="1:3" x14ac:dyDescent="0.2">
      <c r="A14" s="5">
        <v>5</v>
      </c>
      <c r="B14" s="4">
        <f t="shared" si="0"/>
        <v>-8698.8429085421067</v>
      </c>
    </row>
    <row r="15" spans="1:3" x14ac:dyDescent="0.2">
      <c r="A15" s="5">
        <v>6</v>
      </c>
      <c r="B15" s="4">
        <f t="shared" si="0"/>
        <v>-8698.8429085421067</v>
      </c>
    </row>
    <row r="16" spans="1:3" x14ac:dyDescent="0.2">
      <c r="A16" s="5">
        <v>7</v>
      </c>
      <c r="B16" s="4">
        <f t="shared" si="0"/>
        <v>-8698.8429085421067</v>
      </c>
    </row>
    <row r="17" spans="1:3" x14ac:dyDescent="0.2">
      <c r="A17" s="5">
        <v>8</v>
      </c>
      <c r="B17" s="4">
        <f t="shared" si="0"/>
        <v>-8698.8429085421067</v>
      </c>
    </row>
    <row r="18" spans="1:3" x14ac:dyDescent="0.2">
      <c r="A18" s="5">
        <v>9</v>
      </c>
      <c r="B18" s="4">
        <f t="shared" si="0"/>
        <v>-8698.8429085421067</v>
      </c>
    </row>
    <row r="19" spans="1:3" x14ac:dyDescent="0.2">
      <c r="A19" s="5">
        <v>10</v>
      </c>
      <c r="B19" s="4">
        <f t="shared" si="0"/>
        <v>-8698.8429085421067</v>
      </c>
    </row>
    <row r="20" spans="1:3" x14ac:dyDescent="0.2">
      <c r="A20" s="5">
        <v>11</v>
      </c>
      <c r="B20" s="4">
        <f t="shared" si="0"/>
        <v>-8698.8429085421067</v>
      </c>
    </row>
    <row r="21" spans="1:3" x14ac:dyDescent="0.2">
      <c r="A21" s="5">
        <v>12</v>
      </c>
      <c r="B21" s="4">
        <f t="shared" si="0"/>
        <v>-8698.8429085421067</v>
      </c>
    </row>
    <row r="22" spans="1:3" x14ac:dyDescent="0.2">
      <c r="A22" s="5"/>
      <c r="B22" s="4"/>
    </row>
    <row r="23" spans="1:3" x14ac:dyDescent="0.2">
      <c r="A23" s="74" t="s">
        <v>149</v>
      </c>
      <c r="B23" s="50">
        <f>IRR(B9:B21)</f>
        <v>9.0442043348681889E-3</v>
      </c>
      <c r="C23" t="e">
        <f ca="1">"&lt;-- "&amp;_xlfn.FORMULATEXT(B23)</f>
        <v>#NAME?</v>
      </c>
    </row>
    <row r="24" spans="1:3" x14ac:dyDescent="0.2">
      <c r="A24" s="17" t="s">
        <v>11</v>
      </c>
      <c r="B24" s="30">
        <f>(1+B23)^12-1</f>
        <v>0.11409521093174546</v>
      </c>
      <c r="C24" t="e">
        <f ca="1">"&lt;-- "&amp;_xlfn.FORMULATEXT(B24)</f>
        <v>#NAME?</v>
      </c>
    </row>
    <row r="25" spans="1:3" x14ac:dyDescent="0.2">
      <c r="A25" s="5"/>
      <c r="B25" s="4"/>
    </row>
    <row r="26" spans="1:3" ht="25.5" x14ac:dyDescent="0.2">
      <c r="A26" s="77" t="s">
        <v>150</v>
      </c>
      <c r="B26" s="33">
        <f>RATE(12,8698.84,-98500)</f>
        <v>9.0441515587013129E-3</v>
      </c>
      <c r="C26" t="e">
        <f ca="1">"&lt;-- "&amp;_xlfn.FORMULATEXT(B26)</f>
        <v>#NAME?</v>
      </c>
    </row>
    <row r="27" spans="1:3" x14ac:dyDescent="0.2">
      <c r="A27" s="5"/>
      <c r="B27" s="4"/>
    </row>
    <row r="28" spans="1:3" x14ac:dyDescent="0.2">
      <c r="A28" s="5"/>
      <c r="B28" s="4"/>
    </row>
    <row r="29" spans="1:3" x14ac:dyDescent="0.2">
      <c r="A29" s="5"/>
      <c r="B29" s="4"/>
    </row>
    <row r="30" spans="1:3" x14ac:dyDescent="0.2">
      <c r="A30" s="5"/>
      <c r="B30" s="4"/>
    </row>
    <row r="31" spans="1:3" x14ac:dyDescent="0.2">
      <c r="A31" s="5"/>
      <c r="B31" s="4"/>
    </row>
    <row r="32" spans="1:3" x14ac:dyDescent="0.2">
      <c r="A32" s="5"/>
      <c r="B32" s="4"/>
    </row>
    <row r="33" spans="1:2" x14ac:dyDescent="0.2">
      <c r="A33" s="5"/>
      <c r="B33" s="4"/>
    </row>
    <row r="34" spans="1:2" x14ac:dyDescent="0.2">
      <c r="A34" s="5"/>
      <c r="B34" s="4"/>
    </row>
    <row r="35" spans="1:2" x14ac:dyDescent="0.2">
      <c r="A35" s="5"/>
      <c r="B35" s="4"/>
    </row>
    <row r="36" spans="1:2" x14ac:dyDescent="0.2">
      <c r="A36" s="5"/>
      <c r="B36" s="4"/>
    </row>
    <row r="37" spans="1:2" x14ac:dyDescent="0.2">
      <c r="A37" s="5"/>
      <c r="B37" s="4"/>
    </row>
    <row r="38" spans="1:2" x14ac:dyDescent="0.2">
      <c r="A38" s="5"/>
      <c r="B38" s="4"/>
    </row>
    <row r="39" spans="1:2" x14ac:dyDescent="0.2">
      <c r="A39" s="5"/>
      <c r="B39" s="4"/>
    </row>
    <row r="40" spans="1:2" x14ac:dyDescent="0.2">
      <c r="A40" s="5"/>
      <c r="B40" s="4"/>
    </row>
    <row r="41" spans="1:2" x14ac:dyDescent="0.2">
      <c r="A41" s="5"/>
      <c r="B41" s="4"/>
    </row>
    <row r="42" spans="1:2" x14ac:dyDescent="0.2">
      <c r="A42" s="5"/>
      <c r="B42" s="4"/>
    </row>
    <row r="43" spans="1:2" x14ac:dyDescent="0.2">
      <c r="A43" s="5"/>
      <c r="B43" s="4"/>
    </row>
    <row r="44" spans="1:2" x14ac:dyDescent="0.2">
      <c r="A44" s="5"/>
      <c r="B44" s="4"/>
    </row>
    <row r="45" spans="1:2" x14ac:dyDescent="0.2">
      <c r="A45" s="5"/>
      <c r="B45" s="4"/>
    </row>
    <row r="46" spans="1:2" x14ac:dyDescent="0.2">
      <c r="A46" s="5"/>
      <c r="B46" s="4"/>
    </row>
    <row r="47" spans="1:2" x14ac:dyDescent="0.2">
      <c r="A47" s="5"/>
      <c r="B47" s="4"/>
    </row>
    <row r="48" spans="1:2" x14ac:dyDescent="0.2">
      <c r="A48" s="5"/>
      <c r="B48" s="4"/>
    </row>
    <row r="49" spans="1:2" x14ac:dyDescent="0.2">
      <c r="A49" s="5"/>
      <c r="B49" s="4"/>
    </row>
    <row r="50" spans="1:2" x14ac:dyDescent="0.2">
      <c r="A50" s="5"/>
      <c r="B50" s="4"/>
    </row>
    <row r="51" spans="1:2" x14ac:dyDescent="0.2">
      <c r="A51" s="5"/>
      <c r="B51" s="4"/>
    </row>
    <row r="52" spans="1:2" x14ac:dyDescent="0.2">
      <c r="A52" s="5"/>
      <c r="B52" s="4"/>
    </row>
    <row r="53" spans="1:2" x14ac:dyDescent="0.2">
      <c r="A53" s="5"/>
      <c r="B53" s="4"/>
    </row>
    <row r="54" spans="1:2" x14ac:dyDescent="0.2">
      <c r="A54" s="5"/>
      <c r="B54" s="4"/>
    </row>
    <row r="55" spans="1:2" x14ac:dyDescent="0.2">
      <c r="A55" s="5"/>
      <c r="B55" s="4"/>
    </row>
    <row r="56" spans="1:2" x14ac:dyDescent="0.2">
      <c r="A56" s="5"/>
      <c r="B56" s="4"/>
    </row>
    <row r="57" spans="1:2" x14ac:dyDescent="0.2">
      <c r="A57" s="5"/>
      <c r="B57" s="4"/>
    </row>
    <row r="58" spans="1:2" x14ac:dyDescent="0.2">
      <c r="A58" s="5"/>
      <c r="B58" s="4"/>
    </row>
    <row r="59" spans="1:2" x14ac:dyDescent="0.2">
      <c r="A59" s="5"/>
      <c r="B59" s="4"/>
    </row>
    <row r="60" spans="1:2" x14ac:dyDescent="0.2">
      <c r="A60" s="5"/>
      <c r="B60" s="4"/>
    </row>
    <row r="61" spans="1:2" x14ac:dyDescent="0.2">
      <c r="A61" s="5"/>
      <c r="B61" s="4"/>
    </row>
    <row r="62" spans="1:2" x14ac:dyDescent="0.2">
      <c r="A62" s="5"/>
      <c r="B62" s="4"/>
    </row>
    <row r="63" spans="1:2" x14ac:dyDescent="0.2">
      <c r="A63" s="5"/>
      <c r="B63" s="4"/>
    </row>
    <row r="64" spans="1:2" x14ac:dyDescent="0.2">
      <c r="A64" s="5"/>
      <c r="B64" s="4"/>
    </row>
    <row r="65" spans="1:2" x14ac:dyDescent="0.2">
      <c r="A65" s="5"/>
      <c r="B65" s="4"/>
    </row>
    <row r="66" spans="1:2" x14ac:dyDescent="0.2">
      <c r="A66" s="5"/>
      <c r="B66" s="4"/>
    </row>
    <row r="67" spans="1:2" x14ac:dyDescent="0.2">
      <c r="A67" s="5"/>
      <c r="B67" s="4"/>
    </row>
    <row r="68" spans="1:2" x14ac:dyDescent="0.2">
      <c r="A68" s="5"/>
      <c r="B68" s="4"/>
    </row>
    <row r="69" spans="1:2" x14ac:dyDescent="0.2">
      <c r="A69" s="5"/>
      <c r="B69" s="4"/>
    </row>
    <row r="70" spans="1:2" x14ac:dyDescent="0.2">
      <c r="A70" s="5"/>
      <c r="B70" s="4"/>
    </row>
    <row r="71" spans="1:2" x14ac:dyDescent="0.2">
      <c r="A71" s="5"/>
      <c r="B71" s="4"/>
    </row>
    <row r="72" spans="1:2" x14ac:dyDescent="0.2">
      <c r="A72" s="5"/>
      <c r="B72" s="4"/>
    </row>
    <row r="73" spans="1:2" x14ac:dyDescent="0.2">
      <c r="A73" s="5"/>
      <c r="B73" s="4"/>
    </row>
    <row r="74" spans="1:2" x14ac:dyDescent="0.2">
      <c r="A74" s="5"/>
      <c r="B74" s="4"/>
    </row>
    <row r="75" spans="1:2" x14ac:dyDescent="0.2">
      <c r="A75" s="5"/>
      <c r="B75" s="4"/>
    </row>
    <row r="76" spans="1:2" x14ac:dyDescent="0.2">
      <c r="A76" s="5"/>
      <c r="B76" s="4"/>
    </row>
    <row r="77" spans="1:2" x14ac:dyDescent="0.2">
      <c r="A77" s="5"/>
      <c r="B77" s="4"/>
    </row>
    <row r="78" spans="1:2" x14ac:dyDescent="0.2">
      <c r="A78" s="5"/>
      <c r="B78" s="4"/>
    </row>
    <row r="79" spans="1:2" x14ac:dyDescent="0.2">
      <c r="A79" s="5"/>
      <c r="B79" s="4"/>
    </row>
    <row r="80" spans="1:2" x14ac:dyDescent="0.2">
      <c r="A80" s="5"/>
      <c r="B80" s="4"/>
    </row>
    <row r="81" spans="1:2" x14ac:dyDescent="0.2">
      <c r="A81" s="5"/>
      <c r="B81" s="4"/>
    </row>
    <row r="82" spans="1:2" x14ac:dyDescent="0.2">
      <c r="A82" s="5"/>
      <c r="B82" s="4"/>
    </row>
    <row r="83" spans="1:2" x14ac:dyDescent="0.2">
      <c r="A83" s="5"/>
      <c r="B83" s="4"/>
    </row>
    <row r="84" spans="1:2" x14ac:dyDescent="0.2">
      <c r="A84" s="5"/>
      <c r="B84" s="4"/>
    </row>
    <row r="85" spans="1:2" x14ac:dyDescent="0.2">
      <c r="A85" s="5"/>
      <c r="B85" s="4"/>
    </row>
    <row r="86" spans="1:2" x14ac:dyDescent="0.2">
      <c r="A86" s="5"/>
      <c r="B86" s="4"/>
    </row>
    <row r="87" spans="1:2" x14ac:dyDescent="0.2">
      <c r="A87" s="5"/>
      <c r="B87" s="4"/>
    </row>
    <row r="88" spans="1:2" x14ac:dyDescent="0.2">
      <c r="A88" s="5"/>
      <c r="B88" s="4"/>
    </row>
    <row r="89" spans="1:2" x14ac:dyDescent="0.2">
      <c r="A89" s="5"/>
      <c r="B89" s="4"/>
    </row>
    <row r="90" spans="1:2" x14ac:dyDescent="0.2">
      <c r="A90" s="5"/>
      <c r="B90" s="4"/>
    </row>
    <row r="91" spans="1:2" x14ac:dyDescent="0.2">
      <c r="A91" s="5"/>
      <c r="B91" s="4"/>
    </row>
    <row r="92" spans="1:2" x14ac:dyDescent="0.2">
      <c r="A92" s="5"/>
      <c r="B92" s="4"/>
    </row>
    <row r="93" spans="1:2" x14ac:dyDescent="0.2">
      <c r="A93" s="5"/>
      <c r="B93" s="4"/>
    </row>
    <row r="94" spans="1:2" x14ac:dyDescent="0.2">
      <c r="A94" s="5"/>
      <c r="B94" s="4"/>
    </row>
    <row r="95" spans="1:2" x14ac:dyDescent="0.2">
      <c r="A95" s="5"/>
      <c r="B95" s="4"/>
    </row>
    <row r="96" spans="1:2" x14ac:dyDescent="0.2">
      <c r="A96" s="5"/>
      <c r="B96" s="4"/>
    </row>
    <row r="97" spans="1:2" x14ac:dyDescent="0.2">
      <c r="A97" s="5"/>
      <c r="B97" s="4"/>
    </row>
    <row r="98" spans="1:2" x14ac:dyDescent="0.2">
      <c r="A98" s="5"/>
      <c r="B98" s="4"/>
    </row>
    <row r="99" spans="1:2" x14ac:dyDescent="0.2">
      <c r="A99" s="5"/>
      <c r="B99" s="4"/>
    </row>
    <row r="100" spans="1:2" x14ac:dyDescent="0.2">
      <c r="A100" s="5"/>
      <c r="B100" s="4"/>
    </row>
    <row r="101" spans="1:2" x14ac:dyDescent="0.2">
      <c r="A101" s="5"/>
      <c r="B101" s="4"/>
    </row>
    <row r="102" spans="1:2" x14ac:dyDescent="0.2">
      <c r="A102" s="5"/>
      <c r="B102" s="4"/>
    </row>
    <row r="103" spans="1:2" x14ac:dyDescent="0.2">
      <c r="A103" s="5"/>
      <c r="B103" s="4"/>
    </row>
    <row r="104" spans="1:2" x14ac:dyDescent="0.2">
      <c r="A104" s="5"/>
      <c r="B104" s="4"/>
    </row>
    <row r="105" spans="1:2" x14ac:dyDescent="0.2">
      <c r="A105" s="5"/>
      <c r="B105" s="4"/>
    </row>
    <row r="106" spans="1:2" x14ac:dyDescent="0.2">
      <c r="A106" s="5"/>
      <c r="B106" s="4"/>
    </row>
    <row r="107" spans="1:2" x14ac:dyDescent="0.2">
      <c r="A107" s="5"/>
      <c r="B107" s="4"/>
    </row>
    <row r="108" spans="1:2" x14ac:dyDescent="0.2">
      <c r="A108" s="5"/>
      <c r="B108" s="4"/>
    </row>
    <row r="109" spans="1:2" x14ac:dyDescent="0.2">
      <c r="A109" s="5"/>
      <c r="B109" s="4"/>
    </row>
    <row r="110" spans="1:2" x14ac:dyDescent="0.2">
      <c r="A110" s="5"/>
      <c r="B110" s="4"/>
    </row>
    <row r="111" spans="1:2" x14ac:dyDescent="0.2">
      <c r="A111" s="5"/>
      <c r="B111" s="4"/>
    </row>
    <row r="112" spans="1:2" x14ac:dyDescent="0.2">
      <c r="A112" s="5"/>
      <c r="B112" s="4"/>
    </row>
    <row r="113" spans="1:2" x14ac:dyDescent="0.2">
      <c r="A113" s="5"/>
      <c r="B113" s="4"/>
    </row>
    <row r="114" spans="1:2" x14ac:dyDescent="0.2">
      <c r="A114" s="5"/>
      <c r="B114" s="4"/>
    </row>
    <row r="115" spans="1:2" x14ac:dyDescent="0.2">
      <c r="A115" s="5"/>
      <c r="B115" s="4"/>
    </row>
    <row r="116" spans="1:2" x14ac:dyDescent="0.2">
      <c r="A116" s="5"/>
      <c r="B116" s="4"/>
    </row>
    <row r="117" spans="1:2" x14ac:dyDescent="0.2">
      <c r="A117" s="5"/>
      <c r="B117" s="4"/>
    </row>
    <row r="118" spans="1:2" x14ac:dyDescent="0.2">
      <c r="A118" s="5"/>
      <c r="B118" s="4"/>
    </row>
    <row r="119" spans="1:2" x14ac:dyDescent="0.2">
      <c r="A119" s="5"/>
      <c r="B119" s="4"/>
    </row>
    <row r="120" spans="1:2" x14ac:dyDescent="0.2">
      <c r="A120" s="5"/>
      <c r="B120" s="4"/>
    </row>
    <row r="121" spans="1:2" x14ac:dyDescent="0.2">
      <c r="A121" s="5"/>
      <c r="B121" s="4"/>
    </row>
    <row r="122" spans="1:2" x14ac:dyDescent="0.2">
      <c r="A122" s="5"/>
      <c r="B122" s="4"/>
    </row>
    <row r="123" spans="1:2" x14ac:dyDescent="0.2">
      <c r="A123" s="5"/>
      <c r="B123" s="4"/>
    </row>
    <row r="124" spans="1:2" x14ac:dyDescent="0.2">
      <c r="A124" s="5"/>
      <c r="B124" s="4"/>
    </row>
    <row r="125" spans="1:2" x14ac:dyDescent="0.2">
      <c r="A125" s="5"/>
      <c r="B125" s="4"/>
    </row>
    <row r="126" spans="1:2" x14ac:dyDescent="0.2">
      <c r="A126" s="5"/>
      <c r="B126" s="4"/>
    </row>
    <row r="127" spans="1:2" x14ac:dyDescent="0.2">
      <c r="A127" s="5"/>
      <c r="B127" s="4"/>
    </row>
    <row r="128" spans="1:2" x14ac:dyDescent="0.2">
      <c r="A128" s="5"/>
      <c r="B128" s="4"/>
    </row>
    <row r="129" spans="1:2" x14ac:dyDescent="0.2">
      <c r="A129" s="5"/>
      <c r="B129" s="4"/>
    </row>
    <row r="130" spans="1:2" x14ac:dyDescent="0.2">
      <c r="A130" s="5"/>
      <c r="B130" s="4"/>
    </row>
    <row r="131" spans="1:2" x14ac:dyDescent="0.2">
      <c r="A131" s="5"/>
      <c r="B131" s="4"/>
    </row>
    <row r="132" spans="1:2" x14ac:dyDescent="0.2">
      <c r="A132" s="5"/>
      <c r="B132" s="4"/>
    </row>
    <row r="133" spans="1:2" x14ac:dyDescent="0.2">
      <c r="A133" s="5"/>
      <c r="B133" s="4"/>
    </row>
    <row r="134" spans="1:2" x14ac:dyDescent="0.2">
      <c r="A134" s="5"/>
      <c r="B134" s="4"/>
    </row>
    <row r="135" spans="1:2" x14ac:dyDescent="0.2">
      <c r="A135" s="5"/>
      <c r="B135" s="4"/>
    </row>
    <row r="136" spans="1:2" x14ac:dyDescent="0.2">
      <c r="A136" s="5"/>
      <c r="B136" s="4"/>
    </row>
    <row r="137" spans="1:2" x14ac:dyDescent="0.2">
      <c r="A137" s="5"/>
      <c r="B137" s="4"/>
    </row>
    <row r="138" spans="1:2" x14ac:dyDescent="0.2">
      <c r="A138" s="5"/>
      <c r="B138" s="4"/>
    </row>
    <row r="139" spans="1:2" x14ac:dyDescent="0.2">
      <c r="A139" s="5"/>
      <c r="B139" s="4"/>
    </row>
    <row r="140" spans="1:2" x14ac:dyDescent="0.2">
      <c r="A140" s="5"/>
      <c r="B140" s="4"/>
    </row>
    <row r="141" spans="1:2" x14ac:dyDescent="0.2">
      <c r="A141" s="5"/>
      <c r="B141" s="4"/>
    </row>
    <row r="142" spans="1:2" x14ac:dyDescent="0.2">
      <c r="A142" s="5"/>
      <c r="B142" s="4"/>
    </row>
    <row r="143" spans="1:2" x14ac:dyDescent="0.2">
      <c r="A143" s="5"/>
      <c r="B143" s="4"/>
    </row>
    <row r="144" spans="1:2" x14ac:dyDescent="0.2">
      <c r="A144" s="5"/>
      <c r="B144" s="4"/>
    </row>
    <row r="145" spans="1:2" x14ac:dyDescent="0.2">
      <c r="A145" s="5"/>
      <c r="B145" s="4"/>
    </row>
    <row r="146" spans="1:2" x14ac:dyDescent="0.2">
      <c r="A146" s="5"/>
      <c r="B146" s="4"/>
    </row>
    <row r="147" spans="1:2" x14ac:dyDescent="0.2">
      <c r="A147" s="5"/>
      <c r="B147" s="4"/>
    </row>
    <row r="148" spans="1:2" x14ac:dyDescent="0.2">
      <c r="A148" s="5"/>
      <c r="B148" s="4"/>
    </row>
    <row r="149" spans="1:2" x14ac:dyDescent="0.2">
      <c r="A149" s="5"/>
      <c r="B149" s="4"/>
    </row>
    <row r="150" spans="1:2" x14ac:dyDescent="0.2">
      <c r="A150" s="5"/>
      <c r="B150" s="4"/>
    </row>
    <row r="151" spans="1:2" x14ac:dyDescent="0.2">
      <c r="A151" s="5"/>
      <c r="B151" s="4"/>
    </row>
    <row r="152" spans="1:2" x14ac:dyDescent="0.2">
      <c r="A152" s="5"/>
      <c r="B152" s="4"/>
    </row>
    <row r="153" spans="1:2" x14ac:dyDescent="0.2">
      <c r="A153" s="5"/>
      <c r="B153" s="4"/>
    </row>
    <row r="154" spans="1:2" x14ac:dyDescent="0.2">
      <c r="A154" s="5"/>
      <c r="B154" s="4"/>
    </row>
    <row r="155" spans="1:2" x14ac:dyDescent="0.2">
      <c r="A155" s="5"/>
      <c r="B155" s="4"/>
    </row>
    <row r="156" spans="1:2" x14ac:dyDescent="0.2">
      <c r="A156" s="5"/>
      <c r="B156" s="4"/>
    </row>
    <row r="157" spans="1:2" x14ac:dyDescent="0.2">
      <c r="A157" s="5"/>
      <c r="B157" s="4"/>
    </row>
    <row r="158" spans="1:2" x14ac:dyDescent="0.2">
      <c r="A158" s="5"/>
      <c r="B158" s="4"/>
    </row>
    <row r="159" spans="1:2" x14ac:dyDescent="0.2">
      <c r="A159" s="5"/>
      <c r="B159" s="4"/>
    </row>
    <row r="160" spans="1:2" x14ac:dyDescent="0.2">
      <c r="A160" s="5"/>
      <c r="B160" s="4"/>
    </row>
    <row r="161" spans="1:2" x14ac:dyDescent="0.2">
      <c r="A161" s="5"/>
      <c r="B161" s="4"/>
    </row>
    <row r="162" spans="1:2" x14ac:dyDescent="0.2">
      <c r="A162" s="5"/>
      <c r="B162" s="4"/>
    </row>
    <row r="163" spans="1:2" x14ac:dyDescent="0.2">
      <c r="A163" s="5"/>
      <c r="B163" s="4"/>
    </row>
    <row r="164" spans="1:2" x14ac:dyDescent="0.2">
      <c r="A164" s="5"/>
      <c r="B164" s="4"/>
    </row>
    <row r="165" spans="1:2" x14ac:dyDescent="0.2">
      <c r="A165" s="5"/>
      <c r="B165" s="4"/>
    </row>
    <row r="166" spans="1:2" x14ac:dyDescent="0.2">
      <c r="A166" s="5"/>
      <c r="B166" s="4"/>
    </row>
    <row r="167" spans="1:2" x14ac:dyDescent="0.2">
      <c r="A167" s="5"/>
      <c r="B167" s="4"/>
    </row>
    <row r="168" spans="1:2" x14ac:dyDescent="0.2">
      <c r="A168" s="5"/>
      <c r="B168" s="4"/>
    </row>
    <row r="169" spans="1:2" x14ac:dyDescent="0.2">
      <c r="A169" s="5"/>
      <c r="B169" s="4"/>
    </row>
    <row r="170" spans="1:2" x14ac:dyDescent="0.2">
      <c r="A170" s="5"/>
      <c r="B170" s="4"/>
    </row>
    <row r="171" spans="1:2" x14ac:dyDescent="0.2">
      <c r="A171" s="5"/>
      <c r="B171" s="4"/>
    </row>
    <row r="172" spans="1:2" x14ac:dyDescent="0.2">
      <c r="A172" s="5"/>
      <c r="B172" s="4"/>
    </row>
    <row r="173" spans="1:2" x14ac:dyDescent="0.2">
      <c r="A173" s="5"/>
      <c r="B173" s="4"/>
    </row>
    <row r="174" spans="1:2" x14ac:dyDescent="0.2">
      <c r="A174" s="5"/>
      <c r="B174" s="4"/>
    </row>
    <row r="175" spans="1:2" x14ac:dyDescent="0.2">
      <c r="A175" s="5"/>
      <c r="B175" s="4"/>
    </row>
    <row r="176" spans="1:2" x14ac:dyDescent="0.2">
      <c r="A176" s="5"/>
      <c r="B176" s="4"/>
    </row>
    <row r="177" spans="1:2" x14ac:dyDescent="0.2">
      <c r="A177" s="5"/>
      <c r="B177" s="4"/>
    </row>
    <row r="178" spans="1:2" x14ac:dyDescent="0.2">
      <c r="A178" s="5"/>
      <c r="B178" s="4"/>
    </row>
    <row r="179" spans="1:2" x14ac:dyDescent="0.2">
      <c r="A179" s="5"/>
      <c r="B179" s="4"/>
    </row>
    <row r="180" spans="1:2" x14ac:dyDescent="0.2">
      <c r="A180" s="5"/>
      <c r="B180" s="4"/>
    </row>
    <row r="181" spans="1:2" x14ac:dyDescent="0.2">
      <c r="A181" s="5"/>
      <c r="B181" s="4"/>
    </row>
    <row r="182" spans="1:2" x14ac:dyDescent="0.2">
      <c r="A182" s="5"/>
      <c r="B182" s="4"/>
    </row>
    <row r="183" spans="1:2" x14ac:dyDescent="0.2">
      <c r="A183" s="5"/>
      <c r="B183" s="4"/>
    </row>
    <row r="184" spans="1:2" x14ac:dyDescent="0.2">
      <c r="A184" s="5"/>
      <c r="B184" s="4"/>
    </row>
    <row r="185" spans="1:2" x14ac:dyDescent="0.2">
      <c r="A185" s="5"/>
      <c r="B185" s="4"/>
    </row>
    <row r="186" spans="1:2" x14ac:dyDescent="0.2">
      <c r="A186" s="5"/>
      <c r="B186" s="4"/>
    </row>
    <row r="187" spans="1:2" x14ac:dyDescent="0.2">
      <c r="A187" s="5"/>
      <c r="B187" s="4"/>
    </row>
    <row r="188" spans="1:2" x14ac:dyDescent="0.2">
      <c r="A188" s="5"/>
      <c r="B188" s="4"/>
    </row>
    <row r="189" spans="1:2" x14ac:dyDescent="0.2">
      <c r="A189" s="5"/>
      <c r="B189" s="4"/>
    </row>
    <row r="190" spans="1:2" x14ac:dyDescent="0.2">
      <c r="A190" s="5"/>
      <c r="B190" s="4"/>
    </row>
    <row r="191" spans="1:2" x14ac:dyDescent="0.2">
      <c r="A191" s="5"/>
      <c r="B191" s="4"/>
    </row>
    <row r="192" spans="1:2" x14ac:dyDescent="0.2">
      <c r="A192" s="5"/>
      <c r="B192" s="4"/>
    </row>
    <row r="193" spans="1:2" x14ac:dyDescent="0.2">
      <c r="A193" s="5"/>
      <c r="B193" s="4"/>
    </row>
    <row r="194" spans="1:2" x14ac:dyDescent="0.2">
      <c r="A194" s="5"/>
      <c r="B194" s="4"/>
    </row>
    <row r="195" spans="1:2" x14ac:dyDescent="0.2">
      <c r="A195" s="5"/>
      <c r="B195" s="4"/>
    </row>
    <row r="196" spans="1:2" x14ac:dyDescent="0.2">
      <c r="A196" s="5"/>
      <c r="B196" s="4"/>
    </row>
    <row r="197" spans="1:2" x14ac:dyDescent="0.2">
      <c r="A197" s="5"/>
      <c r="B197" s="4"/>
    </row>
    <row r="198" spans="1:2" x14ac:dyDescent="0.2">
      <c r="A198" s="5"/>
      <c r="B198" s="4"/>
    </row>
    <row r="199" spans="1:2" x14ac:dyDescent="0.2">
      <c r="A199" s="5"/>
      <c r="B199" s="4"/>
    </row>
    <row r="200" spans="1:2" x14ac:dyDescent="0.2">
      <c r="A200" s="5"/>
      <c r="B200" s="4"/>
    </row>
    <row r="201" spans="1:2" x14ac:dyDescent="0.2">
      <c r="A201" s="5"/>
      <c r="B201" s="4"/>
    </row>
    <row r="202" spans="1:2" x14ac:dyDescent="0.2">
      <c r="A202" s="5"/>
      <c r="B202" s="4"/>
    </row>
    <row r="203" spans="1:2" x14ac:dyDescent="0.2">
      <c r="A203" s="5"/>
      <c r="B203" s="4"/>
    </row>
    <row r="204" spans="1:2" x14ac:dyDescent="0.2">
      <c r="A204" s="5"/>
      <c r="B204" s="4"/>
    </row>
    <row r="205" spans="1:2" x14ac:dyDescent="0.2">
      <c r="A205" s="5"/>
      <c r="B205" s="4"/>
    </row>
    <row r="206" spans="1:2" x14ac:dyDescent="0.2">
      <c r="A206" s="5"/>
      <c r="B206" s="4"/>
    </row>
    <row r="207" spans="1:2" x14ac:dyDescent="0.2">
      <c r="A207" s="5"/>
      <c r="B207" s="4"/>
    </row>
    <row r="208" spans="1:2" x14ac:dyDescent="0.2">
      <c r="A208" s="5"/>
      <c r="B208" s="4"/>
    </row>
    <row r="209" spans="1:2" x14ac:dyDescent="0.2">
      <c r="A209" s="5"/>
      <c r="B209" s="4"/>
    </row>
    <row r="210" spans="1:2" x14ac:dyDescent="0.2">
      <c r="A210" s="5"/>
      <c r="B210" s="4"/>
    </row>
    <row r="211" spans="1:2" x14ac:dyDescent="0.2">
      <c r="A211" s="5"/>
      <c r="B211" s="4"/>
    </row>
    <row r="212" spans="1:2" x14ac:dyDescent="0.2">
      <c r="A212" s="5"/>
      <c r="B212" s="4"/>
    </row>
    <row r="213" spans="1:2" x14ac:dyDescent="0.2">
      <c r="A213" s="5"/>
      <c r="B213" s="4"/>
    </row>
    <row r="214" spans="1:2" x14ac:dyDescent="0.2">
      <c r="A214" s="5"/>
      <c r="B214" s="4"/>
    </row>
    <row r="215" spans="1:2" x14ac:dyDescent="0.2">
      <c r="A215" s="5"/>
      <c r="B215" s="4"/>
    </row>
    <row r="216" spans="1:2" x14ac:dyDescent="0.2">
      <c r="A216" s="5"/>
      <c r="B216" s="4"/>
    </row>
    <row r="217" spans="1:2" x14ac:dyDescent="0.2">
      <c r="A217" s="5"/>
      <c r="B217" s="4"/>
    </row>
    <row r="218" spans="1:2" x14ac:dyDescent="0.2">
      <c r="A218" s="5"/>
      <c r="B218" s="4"/>
    </row>
    <row r="219" spans="1:2" x14ac:dyDescent="0.2">
      <c r="A219" s="5"/>
      <c r="B219" s="4"/>
    </row>
    <row r="220" spans="1:2" x14ac:dyDescent="0.2">
      <c r="A220" s="5"/>
      <c r="B220" s="4"/>
    </row>
    <row r="221" spans="1:2" x14ac:dyDescent="0.2">
      <c r="A221" s="5"/>
      <c r="B221" s="4"/>
    </row>
    <row r="222" spans="1:2" x14ac:dyDescent="0.2">
      <c r="A222" s="5"/>
      <c r="B222" s="4"/>
    </row>
    <row r="223" spans="1:2" x14ac:dyDescent="0.2">
      <c r="A223" s="5"/>
      <c r="B223" s="4"/>
    </row>
    <row r="224" spans="1:2" x14ac:dyDescent="0.2">
      <c r="A224" s="5"/>
      <c r="B224" s="4"/>
    </row>
    <row r="225" spans="1:2" x14ac:dyDescent="0.2">
      <c r="A225" s="5"/>
      <c r="B225" s="4"/>
    </row>
    <row r="226" spans="1:2" x14ac:dyDescent="0.2">
      <c r="A226" s="5"/>
      <c r="B226" s="4"/>
    </row>
    <row r="227" spans="1:2" x14ac:dyDescent="0.2">
      <c r="A227" s="5"/>
      <c r="B227" s="4"/>
    </row>
    <row r="228" spans="1:2" x14ac:dyDescent="0.2">
      <c r="A228" s="5"/>
      <c r="B228" s="4"/>
    </row>
    <row r="229" spans="1:2" x14ac:dyDescent="0.2">
      <c r="A229" s="5"/>
      <c r="B229" s="4"/>
    </row>
    <row r="230" spans="1:2" x14ac:dyDescent="0.2">
      <c r="A230" s="5"/>
      <c r="B230" s="4"/>
    </row>
    <row r="231" spans="1:2" x14ac:dyDescent="0.2">
      <c r="A231" s="5"/>
      <c r="B231" s="4"/>
    </row>
    <row r="232" spans="1:2" x14ac:dyDescent="0.2">
      <c r="A232" s="5"/>
      <c r="B232" s="4"/>
    </row>
    <row r="233" spans="1:2" x14ac:dyDescent="0.2">
      <c r="A233" s="5"/>
      <c r="B233" s="4"/>
    </row>
    <row r="234" spans="1:2" x14ac:dyDescent="0.2">
      <c r="A234" s="5"/>
      <c r="B234" s="4"/>
    </row>
    <row r="235" spans="1:2" x14ac:dyDescent="0.2">
      <c r="A235" s="5"/>
      <c r="B235" s="4"/>
    </row>
    <row r="236" spans="1:2" x14ac:dyDescent="0.2">
      <c r="A236" s="5"/>
      <c r="B236" s="4"/>
    </row>
    <row r="237" spans="1:2" x14ac:dyDescent="0.2">
      <c r="A237" s="5"/>
      <c r="B237" s="4"/>
    </row>
    <row r="238" spans="1:2" x14ac:dyDescent="0.2">
      <c r="A238" s="5"/>
      <c r="B238" s="4"/>
    </row>
    <row r="239" spans="1:2" x14ac:dyDescent="0.2">
      <c r="A239" s="5"/>
      <c r="B239" s="4"/>
    </row>
    <row r="240" spans="1:2" x14ac:dyDescent="0.2">
      <c r="A240" s="5"/>
      <c r="B240" s="4"/>
    </row>
    <row r="241" spans="1:2" x14ac:dyDescent="0.2">
      <c r="A241" s="5"/>
      <c r="B241" s="4"/>
    </row>
    <row r="242" spans="1:2" x14ac:dyDescent="0.2">
      <c r="A242" s="5"/>
      <c r="B242" s="4"/>
    </row>
    <row r="243" spans="1:2" x14ac:dyDescent="0.2">
      <c r="A243" s="5"/>
      <c r="B243" s="4"/>
    </row>
    <row r="244" spans="1:2" x14ac:dyDescent="0.2">
      <c r="A244" s="5"/>
      <c r="B244" s="4"/>
    </row>
    <row r="245" spans="1:2" x14ac:dyDescent="0.2">
      <c r="A245" s="5"/>
      <c r="B245" s="4"/>
    </row>
    <row r="246" spans="1:2" x14ac:dyDescent="0.2">
      <c r="A246" s="5"/>
      <c r="B246" s="4"/>
    </row>
    <row r="247" spans="1:2" x14ac:dyDescent="0.2">
      <c r="A247" s="5"/>
      <c r="B247" s="4"/>
    </row>
    <row r="248" spans="1:2" x14ac:dyDescent="0.2">
      <c r="A248" s="5"/>
      <c r="B248" s="4"/>
    </row>
    <row r="249" spans="1:2" x14ac:dyDescent="0.2">
      <c r="A249" s="5"/>
      <c r="B249" s="4"/>
    </row>
    <row r="250" spans="1:2" x14ac:dyDescent="0.2">
      <c r="A250" s="5"/>
      <c r="B250" s="4"/>
    </row>
    <row r="251" spans="1:2" x14ac:dyDescent="0.2">
      <c r="A251" s="5"/>
      <c r="B251" s="4"/>
    </row>
    <row r="252" spans="1:2" x14ac:dyDescent="0.2">
      <c r="A252" s="5"/>
      <c r="B252" s="4"/>
    </row>
    <row r="253" spans="1:2" x14ac:dyDescent="0.2">
      <c r="A253" s="5"/>
      <c r="B253" s="4"/>
    </row>
    <row r="254" spans="1:2" x14ac:dyDescent="0.2">
      <c r="A254" s="5"/>
      <c r="B254" s="4"/>
    </row>
    <row r="255" spans="1:2" x14ac:dyDescent="0.2">
      <c r="A255" s="5"/>
      <c r="B255" s="4"/>
    </row>
    <row r="256" spans="1:2" x14ac:dyDescent="0.2">
      <c r="A256" s="5"/>
      <c r="B256" s="4"/>
    </row>
    <row r="257" spans="1:2" x14ac:dyDescent="0.2">
      <c r="A257" s="5"/>
      <c r="B257" s="4"/>
    </row>
    <row r="258" spans="1:2" x14ac:dyDescent="0.2">
      <c r="A258" s="5"/>
      <c r="B258" s="4"/>
    </row>
    <row r="259" spans="1:2" x14ac:dyDescent="0.2">
      <c r="A259" s="5"/>
      <c r="B259" s="4"/>
    </row>
    <row r="260" spans="1:2" x14ac:dyDescent="0.2">
      <c r="A260" s="5"/>
      <c r="B260" s="4"/>
    </row>
    <row r="261" spans="1:2" x14ac:dyDescent="0.2">
      <c r="A261" s="5"/>
      <c r="B261" s="4"/>
    </row>
    <row r="262" spans="1:2" x14ac:dyDescent="0.2">
      <c r="A262" s="5"/>
      <c r="B262" s="4"/>
    </row>
    <row r="263" spans="1:2" x14ac:dyDescent="0.2">
      <c r="A263" s="5"/>
      <c r="B263" s="4"/>
    </row>
    <row r="264" spans="1:2" x14ac:dyDescent="0.2">
      <c r="A264" s="5"/>
      <c r="B264" s="4"/>
    </row>
    <row r="265" spans="1:2" x14ac:dyDescent="0.2">
      <c r="A265" s="5"/>
      <c r="B265" s="4"/>
    </row>
    <row r="266" spans="1:2" x14ac:dyDescent="0.2">
      <c r="A266" s="5"/>
      <c r="B266" s="4"/>
    </row>
    <row r="267" spans="1:2" x14ac:dyDescent="0.2">
      <c r="A267" s="5"/>
      <c r="B267" s="4"/>
    </row>
    <row r="268" spans="1:2" x14ac:dyDescent="0.2">
      <c r="A268" s="5"/>
      <c r="B268" s="4"/>
    </row>
    <row r="269" spans="1:2" x14ac:dyDescent="0.2">
      <c r="A269" s="5"/>
      <c r="B269" s="4"/>
    </row>
    <row r="270" spans="1:2" x14ac:dyDescent="0.2">
      <c r="A270" s="5"/>
      <c r="B270" s="4"/>
    </row>
    <row r="271" spans="1:2" x14ac:dyDescent="0.2">
      <c r="A271" s="5"/>
      <c r="B271" s="4"/>
    </row>
    <row r="272" spans="1:2" x14ac:dyDescent="0.2">
      <c r="A272" s="5"/>
      <c r="B272" s="4"/>
    </row>
    <row r="273" spans="1:2" x14ac:dyDescent="0.2">
      <c r="A273" s="5"/>
      <c r="B273" s="4"/>
    </row>
    <row r="274" spans="1:2" x14ac:dyDescent="0.2">
      <c r="A274" s="5"/>
      <c r="B274" s="4"/>
    </row>
    <row r="275" spans="1:2" x14ac:dyDescent="0.2">
      <c r="A275" s="5"/>
      <c r="B275" s="4"/>
    </row>
    <row r="276" spans="1:2" x14ac:dyDescent="0.2">
      <c r="A276" s="5"/>
      <c r="B276" s="4"/>
    </row>
    <row r="277" spans="1:2" x14ac:dyDescent="0.2">
      <c r="A277" s="5"/>
      <c r="B277" s="4"/>
    </row>
    <row r="278" spans="1:2" x14ac:dyDescent="0.2">
      <c r="A278" s="5"/>
      <c r="B278" s="4"/>
    </row>
    <row r="279" spans="1:2" x14ac:dyDescent="0.2">
      <c r="A279" s="5"/>
      <c r="B279" s="4"/>
    </row>
    <row r="280" spans="1:2" x14ac:dyDescent="0.2">
      <c r="A280" s="5"/>
      <c r="B280" s="4"/>
    </row>
    <row r="281" spans="1:2" x14ac:dyDescent="0.2">
      <c r="A281" s="5"/>
      <c r="B281" s="4"/>
    </row>
    <row r="282" spans="1:2" x14ac:dyDescent="0.2">
      <c r="A282" s="5"/>
      <c r="B282" s="4"/>
    </row>
    <row r="283" spans="1:2" x14ac:dyDescent="0.2">
      <c r="A283" s="5"/>
      <c r="B283" s="4"/>
    </row>
    <row r="284" spans="1:2" x14ac:dyDescent="0.2">
      <c r="A284" s="5"/>
      <c r="B284" s="4"/>
    </row>
    <row r="285" spans="1:2" x14ac:dyDescent="0.2">
      <c r="A285" s="5"/>
      <c r="B285" s="4"/>
    </row>
    <row r="286" spans="1:2" x14ac:dyDescent="0.2">
      <c r="A286" s="5"/>
      <c r="B286" s="4"/>
    </row>
    <row r="287" spans="1:2" x14ac:dyDescent="0.2">
      <c r="A287" s="5"/>
      <c r="B287" s="4"/>
    </row>
    <row r="288" spans="1:2" x14ac:dyDescent="0.2">
      <c r="A288" s="5"/>
      <c r="B288" s="4"/>
    </row>
    <row r="289" spans="1:2" x14ac:dyDescent="0.2">
      <c r="A289" s="5"/>
      <c r="B289" s="4"/>
    </row>
    <row r="290" spans="1:2" x14ac:dyDescent="0.2">
      <c r="A290" s="5"/>
      <c r="B290" s="4"/>
    </row>
    <row r="291" spans="1:2" x14ac:dyDescent="0.2">
      <c r="A291" s="5"/>
      <c r="B291" s="4"/>
    </row>
    <row r="292" spans="1:2" x14ac:dyDescent="0.2">
      <c r="A292" s="5"/>
      <c r="B292" s="4"/>
    </row>
    <row r="293" spans="1:2" x14ac:dyDescent="0.2">
      <c r="A293" s="5"/>
      <c r="B293" s="4"/>
    </row>
    <row r="294" spans="1:2" x14ac:dyDescent="0.2">
      <c r="A294" s="5"/>
      <c r="B294" s="4"/>
    </row>
    <row r="295" spans="1:2" x14ac:dyDescent="0.2">
      <c r="A295" s="5"/>
      <c r="B295" s="4"/>
    </row>
    <row r="296" spans="1:2" x14ac:dyDescent="0.2">
      <c r="A296" s="5"/>
      <c r="B296" s="4"/>
    </row>
    <row r="297" spans="1:2" x14ac:dyDescent="0.2">
      <c r="A297" s="5"/>
      <c r="B297" s="4"/>
    </row>
    <row r="298" spans="1:2" x14ac:dyDescent="0.2">
      <c r="A298" s="5"/>
      <c r="B298" s="4"/>
    </row>
    <row r="299" spans="1:2" x14ac:dyDescent="0.2">
      <c r="A299" s="5"/>
      <c r="B299" s="4"/>
    </row>
    <row r="300" spans="1:2" x14ac:dyDescent="0.2">
      <c r="A300" s="5"/>
      <c r="B300" s="4"/>
    </row>
    <row r="301" spans="1:2" x14ac:dyDescent="0.2">
      <c r="A301" s="5"/>
      <c r="B301" s="4"/>
    </row>
    <row r="302" spans="1:2" x14ac:dyDescent="0.2">
      <c r="A302" s="5"/>
      <c r="B302" s="4"/>
    </row>
    <row r="303" spans="1:2" x14ac:dyDescent="0.2">
      <c r="A303" s="5"/>
      <c r="B303" s="4"/>
    </row>
    <row r="304" spans="1:2" x14ac:dyDescent="0.2">
      <c r="A304" s="5"/>
      <c r="B304" s="4"/>
    </row>
    <row r="305" spans="1:2" x14ac:dyDescent="0.2">
      <c r="A305" s="5"/>
      <c r="B305" s="4"/>
    </row>
    <row r="306" spans="1:2" x14ac:dyDescent="0.2">
      <c r="A306" s="5"/>
      <c r="B306" s="4"/>
    </row>
    <row r="307" spans="1:2" x14ac:dyDescent="0.2">
      <c r="A307" s="5"/>
      <c r="B307" s="4"/>
    </row>
    <row r="308" spans="1:2" x14ac:dyDescent="0.2">
      <c r="A308" s="5"/>
      <c r="B308" s="4"/>
    </row>
    <row r="309" spans="1:2" x14ac:dyDescent="0.2">
      <c r="A309" s="5"/>
      <c r="B309" s="4"/>
    </row>
    <row r="310" spans="1:2" x14ac:dyDescent="0.2">
      <c r="A310" s="5"/>
      <c r="B310" s="4"/>
    </row>
    <row r="311" spans="1:2" x14ac:dyDescent="0.2">
      <c r="A311" s="5"/>
      <c r="B311" s="4"/>
    </row>
    <row r="312" spans="1:2" x14ac:dyDescent="0.2">
      <c r="A312" s="5"/>
      <c r="B312" s="4"/>
    </row>
    <row r="313" spans="1:2" x14ac:dyDescent="0.2">
      <c r="A313" s="5"/>
      <c r="B313" s="4"/>
    </row>
    <row r="314" spans="1:2" x14ac:dyDescent="0.2">
      <c r="A314" s="5"/>
      <c r="B314" s="4"/>
    </row>
    <row r="315" spans="1:2" x14ac:dyDescent="0.2">
      <c r="A315" s="5"/>
      <c r="B315" s="4"/>
    </row>
    <row r="316" spans="1:2" x14ac:dyDescent="0.2">
      <c r="A316" s="5"/>
      <c r="B316" s="4"/>
    </row>
    <row r="317" spans="1:2" x14ac:dyDescent="0.2">
      <c r="A317" s="5"/>
      <c r="B317" s="4"/>
    </row>
    <row r="318" spans="1:2" x14ac:dyDescent="0.2">
      <c r="A318" s="5"/>
      <c r="B318" s="4"/>
    </row>
    <row r="319" spans="1:2" x14ac:dyDescent="0.2">
      <c r="A319" s="5"/>
      <c r="B319" s="4"/>
    </row>
    <row r="320" spans="1:2" x14ac:dyDescent="0.2">
      <c r="A320" s="5"/>
      <c r="B320" s="4"/>
    </row>
    <row r="321" spans="1:2" x14ac:dyDescent="0.2">
      <c r="A321" s="5"/>
      <c r="B321" s="4"/>
    </row>
    <row r="322" spans="1:2" x14ac:dyDescent="0.2">
      <c r="A322" s="5"/>
      <c r="B322" s="4"/>
    </row>
    <row r="323" spans="1:2" x14ac:dyDescent="0.2">
      <c r="A323" s="5"/>
      <c r="B323" s="4"/>
    </row>
    <row r="324" spans="1:2" x14ac:dyDescent="0.2">
      <c r="A324" s="5"/>
      <c r="B324" s="4"/>
    </row>
    <row r="325" spans="1:2" x14ac:dyDescent="0.2">
      <c r="A325" s="5"/>
      <c r="B325" s="4"/>
    </row>
    <row r="326" spans="1:2" x14ac:dyDescent="0.2">
      <c r="A326" s="5"/>
      <c r="B326" s="4"/>
    </row>
    <row r="327" spans="1:2" x14ac:dyDescent="0.2">
      <c r="A327" s="5"/>
      <c r="B327" s="4"/>
    </row>
    <row r="328" spans="1:2" x14ac:dyDescent="0.2">
      <c r="A328" s="5"/>
      <c r="B328" s="4"/>
    </row>
    <row r="329" spans="1:2" x14ac:dyDescent="0.2">
      <c r="A329" s="5"/>
      <c r="B329" s="4"/>
    </row>
    <row r="330" spans="1:2" x14ac:dyDescent="0.2">
      <c r="A330" s="5"/>
      <c r="B330" s="4"/>
    </row>
    <row r="331" spans="1:2" x14ac:dyDescent="0.2">
      <c r="A331" s="5"/>
      <c r="B331" s="4"/>
    </row>
    <row r="332" spans="1:2" x14ac:dyDescent="0.2">
      <c r="A332" s="5"/>
      <c r="B332" s="4"/>
    </row>
    <row r="333" spans="1:2" x14ac:dyDescent="0.2">
      <c r="A333" s="5"/>
      <c r="B333" s="4"/>
    </row>
    <row r="334" spans="1:2" x14ac:dyDescent="0.2">
      <c r="A334" s="5"/>
      <c r="B334" s="4"/>
    </row>
    <row r="335" spans="1:2" x14ac:dyDescent="0.2">
      <c r="A335" s="5"/>
      <c r="B335" s="4"/>
    </row>
    <row r="336" spans="1:2" x14ac:dyDescent="0.2">
      <c r="A336" s="5"/>
      <c r="B336" s="4"/>
    </row>
    <row r="337" spans="1:2" x14ac:dyDescent="0.2">
      <c r="A337" s="5"/>
      <c r="B337" s="4"/>
    </row>
    <row r="338" spans="1:2" x14ac:dyDescent="0.2">
      <c r="A338" s="5"/>
      <c r="B338" s="4"/>
    </row>
    <row r="339" spans="1:2" x14ac:dyDescent="0.2">
      <c r="A339" s="5"/>
      <c r="B339" s="4"/>
    </row>
    <row r="340" spans="1:2" x14ac:dyDescent="0.2">
      <c r="A340" s="5"/>
      <c r="B340" s="4"/>
    </row>
    <row r="341" spans="1:2" x14ac:dyDescent="0.2">
      <c r="A341" s="5"/>
      <c r="B341" s="4"/>
    </row>
    <row r="342" spans="1:2" x14ac:dyDescent="0.2">
      <c r="A342" s="5"/>
      <c r="B342" s="4"/>
    </row>
    <row r="343" spans="1:2" x14ac:dyDescent="0.2">
      <c r="A343" s="5"/>
      <c r="B343" s="4"/>
    </row>
    <row r="344" spans="1:2" x14ac:dyDescent="0.2">
      <c r="A344" s="5"/>
      <c r="B344" s="4"/>
    </row>
    <row r="345" spans="1:2" x14ac:dyDescent="0.2">
      <c r="A345" s="5"/>
      <c r="B345" s="4"/>
    </row>
    <row r="346" spans="1:2" x14ac:dyDescent="0.2">
      <c r="A346" s="5"/>
      <c r="B346" s="4"/>
    </row>
    <row r="347" spans="1:2" x14ac:dyDescent="0.2">
      <c r="A347" s="5"/>
      <c r="B347" s="4"/>
    </row>
    <row r="348" spans="1:2" x14ac:dyDescent="0.2">
      <c r="A348" s="5"/>
      <c r="B348" s="4"/>
    </row>
    <row r="349" spans="1:2" x14ac:dyDescent="0.2">
      <c r="A349" s="5"/>
      <c r="B349" s="4"/>
    </row>
    <row r="350" spans="1:2" x14ac:dyDescent="0.2">
      <c r="A350" s="5"/>
      <c r="B350" s="4"/>
    </row>
    <row r="351" spans="1:2" x14ac:dyDescent="0.2">
      <c r="A351" s="5"/>
      <c r="B351" s="4"/>
    </row>
    <row r="352" spans="1:2" x14ac:dyDescent="0.2">
      <c r="A352" s="5"/>
      <c r="B352" s="4"/>
    </row>
    <row r="353" spans="1:2" x14ac:dyDescent="0.2">
      <c r="A353" s="5"/>
      <c r="B353" s="4"/>
    </row>
    <row r="354" spans="1:2" x14ac:dyDescent="0.2">
      <c r="A354" s="5"/>
      <c r="B354" s="4"/>
    </row>
    <row r="355" spans="1:2" x14ac:dyDescent="0.2">
      <c r="A355" s="5"/>
      <c r="B355" s="4"/>
    </row>
    <row r="356" spans="1:2" x14ac:dyDescent="0.2">
      <c r="A356" s="5"/>
      <c r="B356" s="4"/>
    </row>
    <row r="357" spans="1:2" x14ac:dyDescent="0.2">
      <c r="A357" s="5"/>
      <c r="B357" s="4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367"/>
  <sheetViews>
    <sheetView workbookViewId="0">
      <selection sqref="A1:C1"/>
    </sheetView>
  </sheetViews>
  <sheetFormatPr defaultRowHeight="12.75" x14ac:dyDescent="0.2"/>
  <cols>
    <col min="1" max="1" width="30.28515625" customWidth="1"/>
    <col min="2" max="2" width="12" customWidth="1"/>
    <col min="3" max="3" width="24.28515625" bestFit="1" customWidth="1"/>
    <col min="4" max="4" width="19" customWidth="1"/>
    <col min="5" max="5" width="12.28515625" bestFit="1" customWidth="1"/>
  </cols>
  <sheetData>
    <row r="1" spans="1:3" ht="39" customHeight="1" x14ac:dyDescent="0.2">
      <c r="A1" s="96" t="s">
        <v>123</v>
      </c>
      <c r="B1" s="101"/>
      <c r="C1" s="101"/>
    </row>
    <row r="2" spans="1:3" x14ac:dyDescent="0.2">
      <c r="A2" t="s">
        <v>0</v>
      </c>
      <c r="B2" s="4">
        <v>100000</v>
      </c>
    </row>
    <row r="3" spans="1:3" x14ac:dyDescent="0.2">
      <c r="A3" t="s">
        <v>1</v>
      </c>
      <c r="B3">
        <v>30</v>
      </c>
    </row>
    <row r="4" spans="1:3" x14ac:dyDescent="0.2">
      <c r="A4" t="s">
        <v>2</v>
      </c>
      <c r="B4" s="2">
        <v>0.08</v>
      </c>
    </row>
    <row r="5" spans="1:3" x14ac:dyDescent="0.2">
      <c r="A5" t="s">
        <v>12</v>
      </c>
      <c r="B5" s="19">
        <v>1</v>
      </c>
    </row>
    <row r="6" spans="1:3" x14ac:dyDescent="0.2">
      <c r="A6" t="s">
        <v>13</v>
      </c>
      <c r="B6" s="9">
        <v>5.0000000000000001E-3</v>
      </c>
    </row>
    <row r="7" spans="1:3" x14ac:dyDescent="0.2">
      <c r="B7" s="9"/>
    </row>
    <row r="8" spans="1:3" x14ac:dyDescent="0.2">
      <c r="A8" t="s">
        <v>17</v>
      </c>
      <c r="B8" s="4">
        <f>B2*(1-B5/100-B6)</f>
        <v>98500</v>
      </c>
      <c r="C8" t="e">
        <f ca="1">"&lt;-- "&amp;_xlfn.FORMULATEXT(B8)</f>
        <v>#NAME?</v>
      </c>
    </row>
    <row r="9" spans="1:3" x14ac:dyDescent="0.2">
      <c r="A9" t="s">
        <v>15</v>
      </c>
      <c r="B9" s="13">
        <f>PMT(B4/12,B3*12,-B2)</f>
        <v>733.76457387937614</v>
      </c>
      <c r="C9" t="e">
        <f ca="1">"&lt;-- "&amp;_xlfn.FORMULATEXT(B9)</f>
        <v>#NAME?</v>
      </c>
    </row>
    <row r="10" spans="1:3" x14ac:dyDescent="0.2">
      <c r="A10" s="6"/>
      <c r="B10" s="7"/>
    </row>
    <row r="11" spans="1:3" x14ac:dyDescent="0.2">
      <c r="A11" s="7" t="s">
        <v>16</v>
      </c>
      <c r="B11" s="14"/>
    </row>
    <row r="12" spans="1:3" x14ac:dyDescent="0.2">
      <c r="A12" s="31" t="s">
        <v>44</v>
      </c>
      <c r="B12" s="33">
        <f>RATE(B3*12,B9,-B8)</f>
        <v>6.7998777740328632E-3</v>
      </c>
      <c r="C12" s="31" t="e">
        <f ca="1">"&lt;-- "&amp;_xlfn.FORMULATEXT(B12)</f>
        <v>#NAME?</v>
      </c>
    </row>
    <row r="13" spans="1:3" x14ac:dyDescent="0.2">
      <c r="A13" s="31" t="s">
        <v>69</v>
      </c>
      <c r="B13" s="33">
        <f>(1+B12)^12-1</f>
        <v>8.4720504797293872E-2</v>
      </c>
      <c r="C13" s="31" t="e">
        <f ca="1">"&lt;-- "&amp;_xlfn.FORMULATEXT(B13)</f>
        <v>#NAME?</v>
      </c>
    </row>
    <row r="14" spans="1:3" x14ac:dyDescent="0.2">
      <c r="A14" s="5"/>
      <c r="B14" s="4"/>
    </row>
    <row r="15" spans="1:3" x14ac:dyDescent="0.2">
      <c r="A15" s="5"/>
      <c r="B15" s="4"/>
    </row>
    <row r="16" spans="1:3" x14ac:dyDescent="0.2">
      <c r="A16" s="5"/>
    </row>
    <row r="17" spans="1:2" x14ac:dyDescent="0.2">
      <c r="A17" s="5"/>
      <c r="B17" s="4"/>
    </row>
    <row r="18" spans="1:2" x14ac:dyDescent="0.2">
      <c r="A18" s="5"/>
      <c r="B18" s="23"/>
    </row>
    <row r="19" spans="1:2" x14ac:dyDescent="0.2">
      <c r="A19" s="5"/>
      <c r="B19" s="4"/>
    </row>
    <row r="20" spans="1:2" x14ac:dyDescent="0.2">
      <c r="A20" s="5"/>
      <c r="B20" s="4"/>
    </row>
    <row r="21" spans="1:2" x14ac:dyDescent="0.2">
      <c r="A21" s="5"/>
      <c r="B21" s="4"/>
    </row>
    <row r="22" spans="1:2" x14ac:dyDescent="0.2">
      <c r="A22" s="5"/>
      <c r="B22" s="4"/>
    </row>
    <row r="23" spans="1:2" x14ac:dyDescent="0.2">
      <c r="A23" s="5"/>
      <c r="B23" s="4"/>
    </row>
    <row r="24" spans="1:2" x14ac:dyDescent="0.2">
      <c r="A24" s="5"/>
      <c r="B24" s="4"/>
    </row>
    <row r="25" spans="1:2" x14ac:dyDescent="0.2">
      <c r="A25" s="5"/>
      <c r="B25" s="4"/>
    </row>
    <row r="26" spans="1:2" x14ac:dyDescent="0.2">
      <c r="A26" s="5"/>
      <c r="B26" s="4"/>
    </row>
    <row r="27" spans="1:2" x14ac:dyDescent="0.2">
      <c r="A27" s="5"/>
      <c r="B27" s="4"/>
    </row>
    <row r="28" spans="1:2" x14ac:dyDescent="0.2">
      <c r="A28" s="5"/>
      <c r="B28" s="4"/>
    </row>
    <row r="29" spans="1:2" x14ac:dyDescent="0.2">
      <c r="A29" s="5"/>
      <c r="B29" s="4"/>
    </row>
    <row r="30" spans="1:2" x14ac:dyDescent="0.2">
      <c r="A30" s="5"/>
      <c r="B30" s="4"/>
    </row>
    <row r="31" spans="1:2" x14ac:dyDescent="0.2">
      <c r="A31" s="5"/>
      <c r="B31" s="4"/>
    </row>
    <row r="32" spans="1:2" x14ac:dyDescent="0.2">
      <c r="A32" s="5"/>
      <c r="B32" s="4"/>
    </row>
    <row r="33" spans="1:2" x14ac:dyDescent="0.2">
      <c r="A33" s="5"/>
      <c r="B33" s="4"/>
    </row>
    <row r="34" spans="1:2" x14ac:dyDescent="0.2">
      <c r="A34" s="5"/>
      <c r="B34" s="4"/>
    </row>
    <row r="35" spans="1:2" x14ac:dyDescent="0.2">
      <c r="A35" s="5"/>
      <c r="B35" s="4"/>
    </row>
    <row r="36" spans="1:2" x14ac:dyDescent="0.2">
      <c r="A36" s="5"/>
      <c r="B36" s="4"/>
    </row>
    <row r="37" spans="1:2" x14ac:dyDescent="0.2">
      <c r="A37" s="5"/>
      <c r="B37" s="4"/>
    </row>
    <row r="38" spans="1:2" x14ac:dyDescent="0.2">
      <c r="A38" s="5"/>
      <c r="B38" s="4"/>
    </row>
    <row r="39" spans="1:2" x14ac:dyDescent="0.2">
      <c r="A39" s="5"/>
      <c r="B39" s="4"/>
    </row>
    <row r="40" spans="1:2" x14ac:dyDescent="0.2">
      <c r="A40" s="5"/>
      <c r="B40" s="4"/>
    </row>
    <row r="41" spans="1:2" x14ac:dyDescent="0.2">
      <c r="A41" s="5"/>
      <c r="B41" s="4"/>
    </row>
    <row r="42" spans="1:2" x14ac:dyDescent="0.2">
      <c r="A42" s="5"/>
      <c r="B42" s="4"/>
    </row>
    <row r="43" spans="1:2" x14ac:dyDescent="0.2">
      <c r="A43" s="5"/>
      <c r="B43" s="4"/>
    </row>
    <row r="44" spans="1:2" x14ac:dyDescent="0.2">
      <c r="A44" s="5"/>
      <c r="B44" s="4"/>
    </row>
    <row r="45" spans="1:2" x14ac:dyDescent="0.2">
      <c r="A45" s="5"/>
      <c r="B45" s="4"/>
    </row>
    <row r="46" spans="1:2" x14ac:dyDescent="0.2">
      <c r="A46" s="5"/>
      <c r="B46" s="4"/>
    </row>
    <row r="47" spans="1:2" x14ac:dyDescent="0.2">
      <c r="A47" s="5"/>
      <c r="B47" s="4"/>
    </row>
    <row r="48" spans="1:2" x14ac:dyDescent="0.2">
      <c r="A48" s="5"/>
      <c r="B48" s="4"/>
    </row>
    <row r="49" spans="1:2" x14ac:dyDescent="0.2">
      <c r="A49" s="5"/>
      <c r="B49" s="4"/>
    </row>
    <row r="50" spans="1:2" x14ac:dyDescent="0.2">
      <c r="A50" s="5"/>
      <c r="B50" s="4"/>
    </row>
    <row r="51" spans="1:2" x14ac:dyDescent="0.2">
      <c r="A51" s="5"/>
      <c r="B51" s="4"/>
    </row>
    <row r="52" spans="1:2" x14ac:dyDescent="0.2">
      <c r="A52" s="5"/>
      <c r="B52" s="4"/>
    </row>
    <row r="53" spans="1:2" x14ac:dyDescent="0.2">
      <c r="A53" s="5"/>
      <c r="B53" s="4"/>
    </row>
    <row r="54" spans="1:2" x14ac:dyDescent="0.2">
      <c r="A54" s="5"/>
      <c r="B54" s="4"/>
    </row>
    <row r="55" spans="1:2" x14ac:dyDescent="0.2">
      <c r="A55" s="5"/>
      <c r="B55" s="4"/>
    </row>
    <row r="56" spans="1:2" x14ac:dyDescent="0.2">
      <c r="A56" s="5"/>
      <c r="B56" s="4"/>
    </row>
    <row r="57" spans="1:2" x14ac:dyDescent="0.2">
      <c r="A57" s="5"/>
      <c r="B57" s="4"/>
    </row>
    <row r="58" spans="1:2" x14ac:dyDescent="0.2">
      <c r="A58" s="5"/>
      <c r="B58" s="4"/>
    </row>
    <row r="59" spans="1:2" x14ac:dyDescent="0.2">
      <c r="A59" s="5"/>
      <c r="B59" s="4"/>
    </row>
    <row r="60" spans="1:2" x14ac:dyDescent="0.2">
      <c r="A60" s="5"/>
      <c r="B60" s="4"/>
    </row>
    <row r="61" spans="1:2" x14ac:dyDescent="0.2">
      <c r="A61" s="5"/>
      <c r="B61" s="4"/>
    </row>
    <row r="62" spans="1:2" x14ac:dyDescent="0.2">
      <c r="A62" s="5"/>
      <c r="B62" s="4"/>
    </row>
    <row r="63" spans="1:2" x14ac:dyDescent="0.2">
      <c r="A63" s="5"/>
      <c r="B63" s="4"/>
    </row>
    <row r="64" spans="1:2" x14ac:dyDescent="0.2">
      <c r="A64" s="5"/>
      <c r="B64" s="4"/>
    </row>
    <row r="65" spans="1:2" x14ac:dyDescent="0.2">
      <c r="A65" s="5"/>
      <c r="B65" s="4"/>
    </row>
    <row r="66" spans="1:2" x14ac:dyDescent="0.2">
      <c r="A66" s="5"/>
      <c r="B66" s="4"/>
    </row>
    <row r="67" spans="1:2" x14ac:dyDescent="0.2">
      <c r="A67" s="5"/>
      <c r="B67" s="4"/>
    </row>
    <row r="68" spans="1:2" x14ac:dyDescent="0.2">
      <c r="A68" s="5"/>
      <c r="B68" s="4"/>
    </row>
    <row r="69" spans="1:2" x14ac:dyDescent="0.2">
      <c r="A69" s="5"/>
      <c r="B69" s="4"/>
    </row>
    <row r="70" spans="1:2" x14ac:dyDescent="0.2">
      <c r="A70" s="5"/>
      <c r="B70" s="4"/>
    </row>
    <row r="71" spans="1:2" x14ac:dyDescent="0.2">
      <c r="A71" s="5"/>
      <c r="B71" s="4"/>
    </row>
    <row r="72" spans="1:2" x14ac:dyDescent="0.2">
      <c r="A72" s="5"/>
      <c r="B72" s="4"/>
    </row>
    <row r="73" spans="1:2" x14ac:dyDescent="0.2">
      <c r="A73" s="5"/>
      <c r="B73" s="4"/>
    </row>
    <row r="74" spans="1:2" x14ac:dyDescent="0.2">
      <c r="A74" s="5"/>
      <c r="B74" s="4"/>
    </row>
    <row r="75" spans="1:2" x14ac:dyDescent="0.2">
      <c r="A75" s="5"/>
      <c r="B75" s="4"/>
    </row>
    <row r="76" spans="1:2" x14ac:dyDescent="0.2">
      <c r="A76" s="5"/>
      <c r="B76" s="4"/>
    </row>
    <row r="77" spans="1:2" x14ac:dyDescent="0.2">
      <c r="A77" s="5"/>
      <c r="B77" s="4"/>
    </row>
    <row r="78" spans="1:2" x14ac:dyDescent="0.2">
      <c r="A78" s="5"/>
      <c r="B78" s="4"/>
    </row>
    <row r="79" spans="1:2" x14ac:dyDescent="0.2">
      <c r="A79" s="5"/>
      <c r="B79" s="4"/>
    </row>
    <row r="80" spans="1:2" x14ac:dyDescent="0.2">
      <c r="A80" s="5"/>
      <c r="B80" s="4"/>
    </row>
    <row r="81" spans="1:2" x14ac:dyDescent="0.2">
      <c r="A81" s="5"/>
      <c r="B81" s="4"/>
    </row>
    <row r="82" spans="1:2" x14ac:dyDescent="0.2">
      <c r="A82" s="5"/>
      <c r="B82" s="4"/>
    </row>
    <row r="83" spans="1:2" x14ac:dyDescent="0.2">
      <c r="A83" s="5"/>
      <c r="B83" s="4"/>
    </row>
    <row r="84" spans="1:2" x14ac:dyDescent="0.2">
      <c r="A84" s="5"/>
      <c r="B84" s="4"/>
    </row>
    <row r="85" spans="1:2" x14ac:dyDescent="0.2">
      <c r="A85" s="5"/>
      <c r="B85" s="4"/>
    </row>
    <row r="86" spans="1:2" x14ac:dyDescent="0.2">
      <c r="A86" s="5"/>
      <c r="B86" s="4"/>
    </row>
    <row r="87" spans="1:2" x14ac:dyDescent="0.2">
      <c r="A87" s="5"/>
      <c r="B87" s="4"/>
    </row>
    <row r="88" spans="1:2" x14ac:dyDescent="0.2">
      <c r="A88" s="5"/>
      <c r="B88" s="4"/>
    </row>
    <row r="89" spans="1:2" x14ac:dyDescent="0.2">
      <c r="A89" s="5"/>
      <c r="B89" s="4"/>
    </row>
    <row r="90" spans="1:2" x14ac:dyDescent="0.2">
      <c r="A90" s="5"/>
      <c r="B90" s="4"/>
    </row>
    <row r="91" spans="1:2" x14ac:dyDescent="0.2">
      <c r="A91" s="5"/>
      <c r="B91" s="4"/>
    </row>
    <row r="92" spans="1:2" x14ac:dyDescent="0.2">
      <c r="A92" s="5"/>
      <c r="B92" s="4"/>
    </row>
    <row r="93" spans="1:2" x14ac:dyDescent="0.2">
      <c r="A93" s="5"/>
      <c r="B93" s="4"/>
    </row>
    <row r="94" spans="1:2" x14ac:dyDescent="0.2">
      <c r="A94" s="5"/>
      <c r="B94" s="4"/>
    </row>
    <row r="95" spans="1:2" x14ac:dyDescent="0.2">
      <c r="A95" s="5"/>
      <c r="B95" s="4"/>
    </row>
    <row r="96" spans="1:2" x14ac:dyDescent="0.2">
      <c r="A96" s="5"/>
      <c r="B96" s="4"/>
    </row>
    <row r="97" spans="1:2" x14ac:dyDescent="0.2">
      <c r="A97" s="5"/>
      <c r="B97" s="4"/>
    </row>
    <row r="98" spans="1:2" x14ac:dyDescent="0.2">
      <c r="A98" s="5"/>
      <c r="B98" s="4"/>
    </row>
    <row r="99" spans="1:2" x14ac:dyDescent="0.2">
      <c r="A99" s="5"/>
      <c r="B99" s="4"/>
    </row>
    <row r="100" spans="1:2" x14ac:dyDescent="0.2">
      <c r="A100" s="5"/>
      <c r="B100" s="4"/>
    </row>
    <row r="101" spans="1:2" x14ac:dyDescent="0.2">
      <c r="A101" s="5"/>
      <c r="B101" s="4"/>
    </row>
    <row r="102" spans="1:2" x14ac:dyDescent="0.2">
      <c r="A102" s="5"/>
      <c r="B102" s="4"/>
    </row>
    <row r="103" spans="1:2" x14ac:dyDescent="0.2">
      <c r="A103" s="5"/>
      <c r="B103" s="4"/>
    </row>
    <row r="104" spans="1:2" x14ac:dyDescent="0.2">
      <c r="A104" s="5"/>
      <c r="B104" s="4"/>
    </row>
    <row r="105" spans="1:2" x14ac:dyDescent="0.2">
      <c r="A105" s="5"/>
      <c r="B105" s="4"/>
    </row>
    <row r="106" spans="1:2" x14ac:dyDescent="0.2">
      <c r="A106" s="5"/>
      <c r="B106" s="4"/>
    </row>
    <row r="107" spans="1:2" x14ac:dyDescent="0.2">
      <c r="A107" s="5"/>
      <c r="B107" s="4"/>
    </row>
    <row r="108" spans="1:2" x14ac:dyDescent="0.2">
      <c r="A108" s="5"/>
      <c r="B108" s="4"/>
    </row>
    <row r="109" spans="1:2" x14ac:dyDescent="0.2">
      <c r="A109" s="5"/>
      <c r="B109" s="4"/>
    </row>
    <row r="110" spans="1:2" x14ac:dyDescent="0.2">
      <c r="A110" s="5"/>
      <c r="B110" s="4"/>
    </row>
    <row r="111" spans="1:2" x14ac:dyDescent="0.2">
      <c r="A111" s="5"/>
      <c r="B111" s="4"/>
    </row>
    <row r="112" spans="1:2" x14ac:dyDescent="0.2">
      <c r="A112" s="5"/>
      <c r="B112" s="4"/>
    </row>
    <row r="113" spans="1:2" x14ac:dyDescent="0.2">
      <c r="A113" s="5"/>
      <c r="B113" s="4"/>
    </row>
    <row r="114" spans="1:2" x14ac:dyDescent="0.2">
      <c r="A114" s="5"/>
      <c r="B114" s="4"/>
    </row>
    <row r="115" spans="1:2" x14ac:dyDescent="0.2">
      <c r="A115" s="5"/>
      <c r="B115" s="4"/>
    </row>
    <row r="116" spans="1:2" x14ac:dyDescent="0.2">
      <c r="A116" s="5"/>
      <c r="B116" s="4"/>
    </row>
    <row r="117" spans="1:2" x14ac:dyDescent="0.2">
      <c r="A117" s="5"/>
      <c r="B117" s="4"/>
    </row>
    <row r="118" spans="1:2" x14ac:dyDescent="0.2">
      <c r="A118" s="5"/>
      <c r="B118" s="4"/>
    </row>
    <row r="119" spans="1:2" x14ac:dyDescent="0.2">
      <c r="A119" s="5"/>
      <c r="B119" s="4"/>
    </row>
    <row r="120" spans="1:2" x14ac:dyDescent="0.2">
      <c r="A120" s="5"/>
      <c r="B120" s="4"/>
    </row>
    <row r="121" spans="1:2" x14ac:dyDescent="0.2">
      <c r="A121" s="5"/>
      <c r="B121" s="4"/>
    </row>
    <row r="122" spans="1:2" x14ac:dyDescent="0.2">
      <c r="A122" s="5"/>
      <c r="B122" s="4"/>
    </row>
    <row r="123" spans="1:2" x14ac:dyDescent="0.2">
      <c r="A123" s="5"/>
      <c r="B123" s="4"/>
    </row>
    <row r="124" spans="1:2" x14ac:dyDescent="0.2">
      <c r="A124" s="5"/>
      <c r="B124" s="4"/>
    </row>
    <row r="125" spans="1:2" x14ac:dyDescent="0.2">
      <c r="A125" s="5"/>
      <c r="B125" s="4"/>
    </row>
    <row r="126" spans="1:2" x14ac:dyDescent="0.2">
      <c r="A126" s="5"/>
      <c r="B126" s="4"/>
    </row>
    <row r="127" spans="1:2" x14ac:dyDescent="0.2">
      <c r="A127" s="5"/>
      <c r="B127" s="4"/>
    </row>
    <row r="128" spans="1:2" x14ac:dyDescent="0.2">
      <c r="A128" s="5"/>
      <c r="B128" s="4"/>
    </row>
    <row r="129" spans="1:2" x14ac:dyDescent="0.2">
      <c r="A129" s="5"/>
      <c r="B129" s="4"/>
    </row>
    <row r="130" spans="1:2" x14ac:dyDescent="0.2">
      <c r="A130" s="5"/>
      <c r="B130" s="4"/>
    </row>
    <row r="131" spans="1:2" x14ac:dyDescent="0.2">
      <c r="A131" s="5"/>
      <c r="B131" s="4"/>
    </row>
    <row r="132" spans="1:2" x14ac:dyDescent="0.2">
      <c r="A132" s="5"/>
      <c r="B132" s="4"/>
    </row>
    <row r="133" spans="1:2" x14ac:dyDescent="0.2">
      <c r="A133" s="5"/>
      <c r="B133" s="4"/>
    </row>
    <row r="134" spans="1:2" x14ac:dyDescent="0.2">
      <c r="A134" s="5"/>
      <c r="B134" s="4"/>
    </row>
    <row r="135" spans="1:2" x14ac:dyDescent="0.2">
      <c r="A135" s="5"/>
      <c r="B135" s="4"/>
    </row>
    <row r="136" spans="1:2" x14ac:dyDescent="0.2">
      <c r="A136" s="5"/>
      <c r="B136" s="4"/>
    </row>
    <row r="137" spans="1:2" x14ac:dyDescent="0.2">
      <c r="A137" s="5"/>
      <c r="B137" s="4"/>
    </row>
    <row r="138" spans="1:2" x14ac:dyDescent="0.2">
      <c r="A138" s="5"/>
      <c r="B138" s="4"/>
    </row>
    <row r="139" spans="1:2" x14ac:dyDescent="0.2">
      <c r="A139" s="5"/>
      <c r="B139" s="4"/>
    </row>
    <row r="140" spans="1:2" x14ac:dyDescent="0.2">
      <c r="A140" s="5"/>
      <c r="B140" s="4"/>
    </row>
    <row r="141" spans="1:2" x14ac:dyDescent="0.2">
      <c r="A141" s="5"/>
      <c r="B141" s="4"/>
    </row>
    <row r="142" spans="1:2" x14ac:dyDescent="0.2">
      <c r="A142" s="5"/>
      <c r="B142" s="4"/>
    </row>
    <row r="143" spans="1:2" x14ac:dyDescent="0.2">
      <c r="A143" s="5"/>
      <c r="B143" s="4"/>
    </row>
    <row r="144" spans="1:2" x14ac:dyDescent="0.2">
      <c r="A144" s="5"/>
      <c r="B144" s="4"/>
    </row>
    <row r="145" spans="1:2" x14ac:dyDescent="0.2">
      <c r="A145" s="5"/>
      <c r="B145" s="4"/>
    </row>
    <row r="146" spans="1:2" x14ac:dyDescent="0.2">
      <c r="A146" s="5"/>
      <c r="B146" s="4"/>
    </row>
    <row r="147" spans="1:2" x14ac:dyDescent="0.2">
      <c r="A147" s="5"/>
      <c r="B147" s="4"/>
    </row>
    <row r="148" spans="1:2" x14ac:dyDescent="0.2">
      <c r="A148" s="5"/>
      <c r="B148" s="4"/>
    </row>
    <row r="149" spans="1:2" x14ac:dyDescent="0.2">
      <c r="A149" s="5"/>
      <c r="B149" s="4"/>
    </row>
    <row r="150" spans="1:2" x14ac:dyDescent="0.2">
      <c r="A150" s="5"/>
      <c r="B150" s="4"/>
    </row>
    <row r="151" spans="1:2" x14ac:dyDescent="0.2">
      <c r="A151" s="5"/>
      <c r="B151" s="4"/>
    </row>
    <row r="152" spans="1:2" x14ac:dyDescent="0.2">
      <c r="A152" s="5"/>
      <c r="B152" s="4"/>
    </row>
    <row r="153" spans="1:2" x14ac:dyDescent="0.2">
      <c r="A153" s="5"/>
      <c r="B153" s="4"/>
    </row>
    <row r="154" spans="1:2" x14ac:dyDescent="0.2">
      <c r="A154" s="5"/>
      <c r="B154" s="4"/>
    </row>
    <row r="155" spans="1:2" x14ac:dyDescent="0.2">
      <c r="A155" s="5"/>
      <c r="B155" s="4"/>
    </row>
    <row r="156" spans="1:2" x14ac:dyDescent="0.2">
      <c r="A156" s="5"/>
      <c r="B156" s="4"/>
    </row>
    <row r="157" spans="1:2" x14ac:dyDescent="0.2">
      <c r="A157" s="5"/>
      <c r="B157" s="4"/>
    </row>
    <row r="158" spans="1:2" x14ac:dyDescent="0.2">
      <c r="A158" s="5"/>
      <c r="B158" s="4"/>
    </row>
    <row r="159" spans="1:2" x14ac:dyDescent="0.2">
      <c r="A159" s="5"/>
      <c r="B159" s="4"/>
    </row>
    <row r="160" spans="1:2" x14ac:dyDescent="0.2">
      <c r="A160" s="5"/>
      <c r="B160" s="4"/>
    </row>
    <row r="161" spans="1:2" x14ac:dyDescent="0.2">
      <c r="A161" s="5"/>
      <c r="B161" s="4"/>
    </row>
    <row r="162" spans="1:2" x14ac:dyDescent="0.2">
      <c r="A162" s="5"/>
      <c r="B162" s="4"/>
    </row>
    <row r="163" spans="1:2" x14ac:dyDescent="0.2">
      <c r="A163" s="5"/>
      <c r="B163" s="4"/>
    </row>
    <row r="164" spans="1:2" x14ac:dyDescent="0.2">
      <c r="A164" s="5"/>
      <c r="B164" s="4"/>
    </row>
    <row r="165" spans="1:2" x14ac:dyDescent="0.2">
      <c r="A165" s="5"/>
      <c r="B165" s="4"/>
    </row>
    <row r="166" spans="1:2" x14ac:dyDescent="0.2">
      <c r="A166" s="5"/>
      <c r="B166" s="4"/>
    </row>
    <row r="167" spans="1:2" x14ac:dyDescent="0.2">
      <c r="A167" s="5"/>
      <c r="B167" s="4"/>
    </row>
    <row r="168" spans="1:2" x14ac:dyDescent="0.2">
      <c r="A168" s="5"/>
      <c r="B168" s="4"/>
    </row>
    <row r="169" spans="1:2" x14ac:dyDescent="0.2">
      <c r="A169" s="5"/>
      <c r="B169" s="4"/>
    </row>
    <row r="170" spans="1:2" x14ac:dyDescent="0.2">
      <c r="A170" s="5"/>
      <c r="B170" s="4"/>
    </row>
    <row r="171" spans="1:2" x14ac:dyDescent="0.2">
      <c r="A171" s="5"/>
      <c r="B171" s="4"/>
    </row>
    <row r="172" spans="1:2" x14ac:dyDescent="0.2">
      <c r="A172" s="5"/>
      <c r="B172" s="4"/>
    </row>
    <row r="173" spans="1:2" x14ac:dyDescent="0.2">
      <c r="A173" s="5"/>
      <c r="B173" s="4"/>
    </row>
    <row r="174" spans="1:2" x14ac:dyDescent="0.2">
      <c r="A174" s="5"/>
      <c r="B174" s="4"/>
    </row>
    <row r="175" spans="1:2" x14ac:dyDescent="0.2">
      <c r="A175" s="5"/>
      <c r="B175" s="4"/>
    </row>
    <row r="176" spans="1:2" x14ac:dyDescent="0.2">
      <c r="A176" s="5"/>
      <c r="B176" s="4"/>
    </row>
    <row r="177" spans="1:2" x14ac:dyDescent="0.2">
      <c r="A177" s="5"/>
      <c r="B177" s="4"/>
    </row>
    <row r="178" spans="1:2" x14ac:dyDescent="0.2">
      <c r="A178" s="5"/>
      <c r="B178" s="4"/>
    </row>
    <row r="179" spans="1:2" x14ac:dyDescent="0.2">
      <c r="A179" s="5"/>
      <c r="B179" s="4"/>
    </row>
    <row r="180" spans="1:2" x14ac:dyDescent="0.2">
      <c r="A180" s="5"/>
      <c r="B180" s="4"/>
    </row>
    <row r="181" spans="1:2" x14ac:dyDescent="0.2">
      <c r="A181" s="5"/>
      <c r="B181" s="4"/>
    </row>
    <row r="182" spans="1:2" x14ac:dyDescent="0.2">
      <c r="A182" s="5"/>
      <c r="B182" s="4"/>
    </row>
    <row r="183" spans="1:2" x14ac:dyDescent="0.2">
      <c r="A183" s="5"/>
      <c r="B183" s="4"/>
    </row>
    <row r="184" spans="1:2" x14ac:dyDescent="0.2">
      <c r="A184" s="5"/>
      <c r="B184" s="4"/>
    </row>
    <row r="185" spans="1:2" x14ac:dyDescent="0.2">
      <c r="A185" s="5"/>
      <c r="B185" s="4"/>
    </row>
    <row r="186" spans="1:2" x14ac:dyDescent="0.2">
      <c r="A186" s="5"/>
      <c r="B186" s="4"/>
    </row>
    <row r="187" spans="1:2" x14ac:dyDescent="0.2">
      <c r="A187" s="5"/>
      <c r="B187" s="4"/>
    </row>
    <row r="188" spans="1:2" x14ac:dyDescent="0.2">
      <c r="A188" s="5"/>
      <c r="B188" s="4"/>
    </row>
    <row r="189" spans="1:2" x14ac:dyDescent="0.2">
      <c r="A189" s="5"/>
      <c r="B189" s="4"/>
    </row>
    <row r="190" spans="1:2" x14ac:dyDescent="0.2">
      <c r="A190" s="5"/>
      <c r="B190" s="4"/>
    </row>
    <row r="191" spans="1:2" x14ac:dyDescent="0.2">
      <c r="A191" s="5"/>
      <c r="B191" s="4"/>
    </row>
    <row r="192" spans="1:2" x14ac:dyDescent="0.2">
      <c r="A192" s="5"/>
      <c r="B192" s="4"/>
    </row>
    <row r="193" spans="1:2" x14ac:dyDescent="0.2">
      <c r="A193" s="5"/>
      <c r="B193" s="4"/>
    </row>
    <row r="194" spans="1:2" x14ac:dyDescent="0.2">
      <c r="A194" s="5"/>
      <c r="B194" s="4"/>
    </row>
    <row r="195" spans="1:2" x14ac:dyDescent="0.2">
      <c r="A195" s="5"/>
      <c r="B195" s="4"/>
    </row>
    <row r="196" spans="1:2" x14ac:dyDescent="0.2">
      <c r="A196" s="5"/>
      <c r="B196" s="4"/>
    </row>
    <row r="197" spans="1:2" x14ac:dyDescent="0.2">
      <c r="A197" s="5"/>
      <c r="B197" s="4"/>
    </row>
    <row r="198" spans="1:2" x14ac:dyDescent="0.2">
      <c r="A198" s="5"/>
      <c r="B198" s="4"/>
    </row>
    <row r="199" spans="1:2" x14ac:dyDescent="0.2">
      <c r="A199" s="5"/>
      <c r="B199" s="4"/>
    </row>
    <row r="200" spans="1:2" x14ac:dyDescent="0.2">
      <c r="A200" s="5"/>
      <c r="B200" s="4"/>
    </row>
    <row r="201" spans="1:2" x14ac:dyDescent="0.2">
      <c r="A201" s="5"/>
      <c r="B201" s="4"/>
    </row>
    <row r="202" spans="1:2" x14ac:dyDescent="0.2">
      <c r="A202" s="5"/>
      <c r="B202" s="4"/>
    </row>
    <row r="203" spans="1:2" x14ac:dyDescent="0.2">
      <c r="A203" s="5"/>
      <c r="B203" s="4"/>
    </row>
    <row r="204" spans="1:2" x14ac:dyDescent="0.2">
      <c r="A204" s="5"/>
      <c r="B204" s="4"/>
    </row>
    <row r="205" spans="1:2" x14ac:dyDescent="0.2">
      <c r="A205" s="5"/>
      <c r="B205" s="4"/>
    </row>
    <row r="206" spans="1:2" x14ac:dyDescent="0.2">
      <c r="A206" s="5"/>
      <c r="B206" s="4"/>
    </row>
    <row r="207" spans="1:2" x14ac:dyDescent="0.2">
      <c r="A207" s="5"/>
      <c r="B207" s="4"/>
    </row>
    <row r="208" spans="1:2" x14ac:dyDescent="0.2">
      <c r="A208" s="5"/>
      <c r="B208" s="4"/>
    </row>
    <row r="209" spans="1:2" x14ac:dyDescent="0.2">
      <c r="A209" s="5"/>
      <c r="B209" s="4"/>
    </row>
    <row r="210" spans="1:2" x14ac:dyDescent="0.2">
      <c r="A210" s="5"/>
      <c r="B210" s="4"/>
    </row>
    <row r="211" spans="1:2" x14ac:dyDescent="0.2">
      <c r="A211" s="5"/>
      <c r="B211" s="4"/>
    </row>
    <row r="212" spans="1:2" x14ac:dyDescent="0.2">
      <c r="A212" s="5"/>
      <c r="B212" s="4"/>
    </row>
    <row r="213" spans="1:2" x14ac:dyDescent="0.2">
      <c r="A213" s="5"/>
      <c r="B213" s="4"/>
    </row>
    <row r="214" spans="1:2" x14ac:dyDescent="0.2">
      <c r="A214" s="5"/>
      <c r="B214" s="4"/>
    </row>
    <row r="215" spans="1:2" x14ac:dyDescent="0.2">
      <c r="A215" s="5"/>
      <c r="B215" s="4"/>
    </row>
    <row r="216" spans="1:2" x14ac:dyDescent="0.2">
      <c r="A216" s="5"/>
      <c r="B216" s="4"/>
    </row>
    <row r="217" spans="1:2" x14ac:dyDescent="0.2">
      <c r="A217" s="5"/>
      <c r="B217" s="4"/>
    </row>
    <row r="218" spans="1:2" x14ac:dyDescent="0.2">
      <c r="A218" s="5"/>
      <c r="B218" s="4"/>
    </row>
    <row r="219" spans="1:2" x14ac:dyDescent="0.2">
      <c r="A219" s="5"/>
      <c r="B219" s="4"/>
    </row>
    <row r="220" spans="1:2" x14ac:dyDescent="0.2">
      <c r="A220" s="5"/>
      <c r="B220" s="4"/>
    </row>
    <row r="221" spans="1:2" x14ac:dyDescent="0.2">
      <c r="A221" s="5"/>
      <c r="B221" s="4"/>
    </row>
    <row r="222" spans="1:2" x14ac:dyDescent="0.2">
      <c r="A222" s="5"/>
      <c r="B222" s="4"/>
    </row>
    <row r="223" spans="1:2" x14ac:dyDescent="0.2">
      <c r="A223" s="5"/>
      <c r="B223" s="4"/>
    </row>
    <row r="224" spans="1:2" x14ac:dyDescent="0.2">
      <c r="A224" s="5"/>
      <c r="B224" s="4"/>
    </row>
    <row r="225" spans="1:2" x14ac:dyDescent="0.2">
      <c r="A225" s="5"/>
      <c r="B225" s="4"/>
    </row>
    <row r="226" spans="1:2" x14ac:dyDescent="0.2">
      <c r="A226" s="5"/>
      <c r="B226" s="4"/>
    </row>
    <row r="227" spans="1:2" x14ac:dyDescent="0.2">
      <c r="A227" s="5"/>
      <c r="B227" s="4"/>
    </row>
    <row r="228" spans="1:2" x14ac:dyDescent="0.2">
      <c r="A228" s="5"/>
      <c r="B228" s="4"/>
    </row>
    <row r="229" spans="1:2" x14ac:dyDescent="0.2">
      <c r="A229" s="5"/>
      <c r="B229" s="4"/>
    </row>
    <row r="230" spans="1:2" x14ac:dyDescent="0.2">
      <c r="A230" s="5"/>
      <c r="B230" s="4"/>
    </row>
    <row r="231" spans="1:2" x14ac:dyDescent="0.2">
      <c r="A231" s="5"/>
      <c r="B231" s="4"/>
    </row>
    <row r="232" spans="1:2" x14ac:dyDescent="0.2">
      <c r="A232" s="5"/>
      <c r="B232" s="4"/>
    </row>
    <row r="233" spans="1:2" x14ac:dyDescent="0.2">
      <c r="A233" s="5"/>
      <c r="B233" s="4"/>
    </row>
    <row r="234" spans="1:2" x14ac:dyDescent="0.2">
      <c r="A234" s="5"/>
      <c r="B234" s="4"/>
    </row>
    <row r="235" spans="1:2" x14ac:dyDescent="0.2">
      <c r="A235" s="5"/>
      <c r="B235" s="4"/>
    </row>
    <row r="236" spans="1:2" x14ac:dyDescent="0.2">
      <c r="A236" s="5"/>
      <c r="B236" s="4"/>
    </row>
    <row r="237" spans="1:2" x14ac:dyDescent="0.2">
      <c r="A237" s="5"/>
      <c r="B237" s="4"/>
    </row>
    <row r="238" spans="1:2" x14ac:dyDescent="0.2">
      <c r="A238" s="5"/>
      <c r="B238" s="4"/>
    </row>
    <row r="239" spans="1:2" x14ac:dyDescent="0.2">
      <c r="A239" s="5"/>
      <c r="B239" s="4"/>
    </row>
    <row r="240" spans="1:2" x14ac:dyDescent="0.2">
      <c r="A240" s="5"/>
      <c r="B240" s="4"/>
    </row>
    <row r="241" spans="1:2" x14ac:dyDescent="0.2">
      <c r="A241" s="5"/>
      <c r="B241" s="4"/>
    </row>
    <row r="242" spans="1:2" x14ac:dyDescent="0.2">
      <c r="A242" s="5"/>
      <c r="B242" s="4"/>
    </row>
    <row r="243" spans="1:2" x14ac:dyDescent="0.2">
      <c r="A243" s="5"/>
      <c r="B243" s="4"/>
    </row>
    <row r="244" spans="1:2" x14ac:dyDescent="0.2">
      <c r="A244" s="5"/>
      <c r="B244" s="4"/>
    </row>
    <row r="245" spans="1:2" x14ac:dyDescent="0.2">
      <c r="A245" s="5"/>
      <c r="B245" s="4"/>
    </row>
    <row r="246" spans="1:2" x14ac:dyDescent="0.2">
      <c r="A246" s="5"/>
      <c r="B246" s="4"/>
    </row>
    <row r="247" spans="1:2" x14ac:dyDescent="0.2">
      <c r="A247" s="5"/>
      <c r="B247" s="4"/>
    </row>
    <row r="248" spans="1:2" x14ac:dyDescent="0.2">
      <c r="A248" s="5"/>
      <c r="B248" s="4"/>
    </row>
    <row r="249" spans="1:2" x14ac:dyDescent="0.2">
      <c r="A249" s="5"/>
      <c r="B249" s="4"/>
    </row>
    <row r="250" spans="1:2" x14ac:dyDescent="0.2">
      <c r="A250" s="5"/>
      <c r="B250" s="4"/>
    </row>
    <row r="251" spans="1:2" x14ac:dyDescent="0.2">
      <c r="A251" s="5"/>
      <c r="B251" s="4"/>
    </row>
    <row r="252" spans="1:2" x14ac:dyDescent="0.2">
      <c r="A252" s="5"/>
      <c r="B252" s="4"/>
    </row>
    <row r="253" spans="1:2" x14ac:dyDescent="0.2">
      <c r="A253" s="5"/>
      <c r="B253" s="4"/>
    </row>
    <row r="254" spans="1:2" x14ac:dyDescent="0.2">
      <c r="A254" s="5"/>
      <c r="B254" s="4"/>
    </row>
    <row r="255" spans="1:2" x14ac:dyDescent="0.2">
      <c r="A255" s="5"/>
      <c r="B255" s="4"/>
    </row>
    <row r="256" spans="1:2" x14ac:dyDescent="0.2">
      <c r="A256" s="5"/>
      <c r="B256" s="4"/>
    </row>
    <row r="257" spans="1:2" x14ac:dyDescent="0.2">
      <c r="A257" s="5"/>
      <c r="B257" s="4"/>
    </row>
    <row r="258" spans="1:2" x14ac:dyDescent="0.2">
      <c r="A258" s="5"/>
      <c r="B258" s="4"/>
    </row>
    <row r="259" spans="1:2" x14ac:dyDescent="0.2">
      <c r="A259" s="5"/>
      <c r="B259" s="4"/>
    </row>
    <row r="260" spans="1:2" x14ac:dyDescent="0.2">
      <c r="A260" s="5"/>
      <c r="B260" s="4"/>
    </row>
    <row r="261" spans="1:2" x14ac:dyDescent="0.2">
      <c r="A261" s="5"/>
      <c r="B261" s="4"/>
    </row>
    <row r="262" spans="1:2" x14ac:dyDescent="0.2">
      <c r="A262" s="5"/>
      <c r="B262" s="4"/>
    </row>
    <row r="263" spans="1:2" x14ac:dyDescent="0.2">
      <c r="A263" s="5"/>
      <c r="B263" s="4"/>
    </row>
    <row r="264" spans="1:2" x14ac:dyDescent="0.2">
      <c r="A264" s="5"/>
      <c r="B264" s="4"/>
    </row>
    <row r="265" spans="1:2" x14ac:dyDescent="0.2">
      <c r="A265" s="5"/>
      <c r="B265" s="4"/>
    </row>
    <row r="266" spans="1:2" x14ac:dyDescent="0.2">
      <c r="A266" s="5"/>
      <c r="B266" s="4"/>
    </row>
    <row r="267" spans="1:2" x14ac:dyDescent="0.2">
      <c r="A267" s="5"/>
      <c r="B267" s="4"/>
    </row>
    <row r="268" spans="1:2" x14ac:dyDescent="0.2">
      <c r="A268" s="5"/>
      <c r="B268" s="4"/>
    </row>
    <row r="269" spans="1:2" x14ac:dyDescent="0.2">
      <c r="A269" s="5"/>
      <c r="B269" s="4"/>
    </row>
    <row r="270" spans="1:2" x14ac:dyDescent="0.2">
      <c r="A270" s="5"/>
      <c r="B270" s="4"/>
    </row>
    <row r="271" spans="1:2" x14ac:dyDescent="0.2">
      <c r="A271" s="5"/>
      <c r="B271" s="4"/>
    </row>
    <row r="272" spans="1:2" x14ac:dyDescent="0.2">
      <c r="A272" s="5"/>
      <c r="B272" s="4"/>
    </row>
    <row r="273" spans="1:2" x14ac:dyDescent="0.2">
      <c r="A273" s="5"/>
      <c r="B273" s="4"/>
    </row>
    <row r="274" spans="1:2" x14ac:dyDescent="0.2">
      <c r="A274" s="5"/>
      <c r="B274" s="4"/>
    </row>
    <row r="275" spans="1:2" x14ac:dyDescent="0.2">
      <c r="A275" s="5"/>
      <c r="B275" s="4"/>
    </row>
    <row r="276" spans="1:2" x14ac:dyDescent="0.2">
      <c r="A276" s="5"/>
      <c r="B276" s="4"/>
    </row>
    <row r="277" spans="1:2" x14ac:dyDescent="0.2">
      <c r="A277" s="5"/>
      <c r="B277" s="4"/>
    </row>
    <row r="278" spans="1:2" x14ac:dyDescent="0.2">
      <c r="A278" s="5"/>
      <c r="B278" s="4"/>
    </row>
    <row r="279" spans="1:2" x14ac:dyDescent="0.2">
      <c r="A279" s="5"/>
      <c r="B279" s="4"/>
    </row>
    <row r="280" spans="1:2" x14ac:dyDescent="0.2">
      <c r="A280" s="5"/>
      <c r="B280" s="4"/>
    </row>
    <row r="281" spans="1:2" x14ac:dyDescent="0.2">
      <c r="A281" s="5"/>
      <c r="B281" s="4"/>
    </row>
    <row r="282" spans="1:2" x14ac:dyDescent="0.2">
      <c r="A282" s="5"/>
      <c r="B282" s="4"/>
    </row>
    <row r="283" spans="1:2" x14ac:dyDescent="0.2">
      <c r="A283" s="5"/>
      <c r="B283" s="4"/>
    </row>
    <row r="284" spans="1:2" x14ac:dyDescent="0.2">
      <c r="A284" s="5"/>
      <c r="B284" s="4"/>
    </row>
    <row r="285" spans="1:2" x14ac:dyDescent="0.2">
      <c r="A285" s="5"/>
      <c r="B285" s="4"/>
    </row>
    <row r="286" spans="1:2" x14ac:dyDescent="0.2">
      <c r="A286" s="5"/>
      <c r="B286" s="4"/>
    </row>
    <row r="287" spans="1:2" x14ac:dyDescent="0.2">
      <c r="A287" s="5"/>
      <c r="B287" s="4"/>
    </row>
    <row r="288" spans="1:2" x14ac:dyDescent="0.2">
      <c r="A288" s="5"/>
      <c r="B288" s="4"/>
    </row>
    <row r="289" spans="1:2" x14ac:dyDescent="0.2">
      <c r="A289" s="5"/>
      <c r="B289" s="4"/>
    </row>
    <row r="290" spans="1:2" x14ac:dyDescent="0.2">
      <c r="A290" s="5"/>
      <c r="B290" s="4"/>
    </row>
    <row r="291" spans="1:2" x14ac:dyDescent="0.2">
      <c r="A291" s="5"/>
      <c r="B291" s="4"/>
    </row>
    <row r="292" spans="1:2" x14ac:dyDescent="0.2">
      <c r="A292" s="5"/>
      <c r="B292" s="4"/>
    </row>
    <row r="293" spans="1:2" x14ac:dyDescent="0.2">
      <c r="A293" s="5"/>
      <c r="B293" s="4"/>
    </row>
    <row r="294" spans="1:2" x14ac:dyDescent="0.2">
      <c r="A294" s="5"/>
      <c r="B294" s="4"/>
    </row>
    <row r="295" spans="1:2" x14ac:dyDescent="0.2">
      <c r="A295" s="5"/>
      <c r="B295" s="4"/>
    </row>
    <row r="296" spans="1:2" x14ac:dyDescent="0.2">
      <c r="A296" s="5"/>
      <c r="B296" s="4"/>
    </row>
    <row r="297" spans="1:2" x14ac:dyDescent="0.2">
      <c r="A297" s="5"/>
      <c r="B297" s="4"/>
    </row>
    <row r="298" spans="1:2" x14ac:dyDescent="0.2">
      <c r="A298" s="5"/>
      <c r="B298" s="4"/>
    </row>
    <row r="299" spans="1:2" x14ac:dyDescent="0.2">
      <c r="A299" s="5"/>
      <c r="B299" s="4"/>
    </row>
    <row r="300" spans="1:2" x14ac:dyDescent="0.2">
      <c r="A300" s="5"/>
      <c r="B300" s="4"/>
    </row>
    <row r="301" spans="1:2" x14ac:dyDescent="0.2">
      <c r="A301" s="5"/>
      <c r="B301" s="4"/>
    </row>
    <row r="302" spans="1:2" x14ac:dyDescent="0.2">
      <c r="A302" s="5"/>
      <c r="B302" s="4"/>
    </row>
    <row r="303" spans="1:2" x14ac:dyDescent="0.2">
      <c r="A303" s="5"/>
      <c r="B303" s="4"/>
    </row>
    <row r="304" spans="1:2" x14ac:dyDescent="0.2">
      <c r="A304" s="5"/>
      <c r="B304" s="4"/>
    </row>
    <row r="305" spans="1:2" x14ac:dyDescent="0.2">
      <c r="A305" s="5"/>
      <c r="B305" s="4"/>
    </row>
    <row r="306" spans="1:2" x14ac:dyDescent="0.2">
      <c r="A306" s="5"/>
      <c r="B306" s="4"/>
    </row>
    <row r="307" spans="1:2" x14ac:dyDescent="0.2">
      <c r="A307" s="5"/>
      <c r="B307" s="4"/>
    </row>
    <row r="308" spans="1:2" x14ac:dyDescent="0.2">
      <c r="A308" s="5"/>
      <c r="B308" s="4"/>
    </row>
    <row r="309" spans="1:2" x14ac:dyDescent="0.2">
      <c r="A309" s="5"/>
      <c r="B309" s="4"/>
    </row>
    <row r="310" spans="1:2" x14ac:dyDescent="0.2">
      <c r="A310" s="5"/>
      <c r="B310" s="4"/>
    </row>
    <row r="311" spans="1:2" x14ac:dyDescent="0.2">
      <c r="A311" s="5"/>
      <c r="B311" s="4"/>
    </row>
    <row r="312" spans="1:2" x14ac:dyDescent="0.2">
      <c r="A312" s="5"/>
      <c r="B312" s="4"/>
    </row>
    <row r="313" spans="1:2" x14ac:dyDescent="0.2">
      <c r="A313" s="5"/>
      <c r="B313" s="4"/>
    </row>
    <row r="314" spans="1:2" x14ac:dyDescent="0.2">
      <c r="A314" s="5"/>
      <c r="B314" s="4"/>
    </row>
    <row r="315" spans="1:2" x14ac:dyDescent="0.2">
      <c r="A315" s="5"/>
      <c r="B315" s="4"/>
    </row>
    <row r="316" spans="1:2" x14ac:dyDescent="0.2">
      <c r="A316" s="5"/>
      <c r="B316" s="4"/>
    </row>
    <row r="317" spans="1:2" x14ac:dyDescent="0.2">
      <c r="A317" s="5"/>
      <c r="B317" s="4"/>
    </row>
    <row r="318" spans="1:2" x14ac:dyDescent="0.2">
      <c r="A318" s="5"/>
      <c r="B318" s="4"/>
    </row>
    <row r="319" spans="1:2" x14ac:dyDescent="0.2">
      <c r="A319" s="5"/>
      <c r="B319" s="4"/>
    </row>
    <row r="320" spans="1:2" x14ac:dyDescent="0.2">
      <c r="A320" s="5"/>
      <c r="B320" s="4"/>
    </row>
    <row r="321" spans="1:2" x14ac:dyDescent="0.2">
      <c r="A321" s="5"/>
      <c r="B321" s="4"/>
    </row>
    <row r="322" spans="1:2" x14ac:dyDescent="0.2">
      <c r="A322" s="5"/>
      <c r="B322" s="4"/>
    </row>
    <row r="323" spans="1:2" x14ac:dyDescent="0.2">
      <c r="A323" s="5"/>
      <c r="B323" s="4"/>
    </row>
    <row r="324" spans="1:2" x14ac:dyDescent="0.2">
      <c r="A324" s="5"/>
      <c r="B324" s="4"/>
    </row>
    <row r="325" spans="1:2" x14ac:dyDescent="0.2">
      <c r="A325" s="5"/>
      <c r="B325" s="4"/>
    </row>
    <row r="326" spans="1:2" x14ac:dyDescent="0.2">
      <c r="A326" s="5"/>
      <c r="B326" s="4"/>
    </row>
    <row r="327" spans="1:2" x14ac:dyDescent="0.2">
      <c r="A327" s="5"/>
      <c r="B327" s="4"/>
    </row>
    <row r="328" spans="1:2" x14ac:dyDescent="0.2">
      <c r="A328" s="5"/>
      <c r="B328" s="4"/>
    </row>
    <row r="329" spans="1:2" x14ac:dyDescent="0.2">
      <c r="A329" s="5"/>
      <c r="B329" s="4"/>
    </row>
    <row r="330" spans="1:2" x14ac:dyDescent="0.2">
      <c r="A330" s="5"/>
      <c r="B330" s="4"/>
    </row>
    <row r="331" spans="1:2" x14ac:dyDescent="0.2">
      <c r="A331" s="5"/>
      <c r="B331" s="4"/>
    </row>
    <row r="332" spans="1:2" x14ac:dyDescent="0.2">
      <c r="A332" s="5"/>
      <c r="B332" s="4"/>
    </row>
    <row r="333" spans="1:2" x14ac:dyDescent="0.2">
      <c r="A333" s="5"/>
      <c r="B333" s="4"/>
    </row>
    <row r="334" spans="1:2" x14ac:dyDescent="0.2">
      <c r="A334" s="5"/>
      <c r="B334" s="4"/>
    </row>
    <row r="335" spans="1:2" x14ac:dyDescent="0.2">
      <c r="A335" s="5"/>
      <c r="B335" s="4"/>
    </row>
    <row r="336" spans="1:2" x14ac:dyDescent="0.2">
      <c r="A336" s="5"/>
      <c r="B336" s="4"/>
    </row>
    <row r="337" spans="1:2" x14ac:dyDescent="0.2">
      <c r="A337" s="5"/>
      <c r="B337" s="4"/>
    </row>
    <row r="338" spans="1:2" x14ac:dyDescent="0.2">
      <c r="A338" s="5"/>
      <c r="B338" s="4"/>
    </row>
    <row r="339" spans="1:2" x14ac:dyDescent="0.2">
      <c r="A339" s="5"/>
      <c r="B339" s="4"/>
    </row>
    <row r="340" spans="1:2" x14ac:dyDescent="0.2">
      <c r="A340" s="5"/>
      <c r="B340" s="4"/>
    </row>
    <row r="341" spans="1:2" x14ac:dyDescent="0.2">
      <c r="A341" s="5"/>
      <c r="B341" s="4"/>
    </row>
    <row r="342" spans="1:2" x14ac:dyDescent="0.2">
      <c r="A342" s="5"/>
      <c r="B342" s="4"/>
    </row>
    <row r="343" spans="1:2" x14ac:dyDescent="0.2">
      <c r="A343" s="5"/>
      <c r="B343" s="4"/>
    </row>
    <row r="344" spans="1:2" x14ac:dyDescent="0.2">
      <c r="A344" s="5"/>
      <c r="B344" s="4"/>
    </row>
    <row r="345" spans="1:2" x14ac:dyDescent="0.2">
      <c r="A345" s="5"/>
      <c r="B345" s="4"/>
    </row>
    <row r="346" spans="1:2" x14ac:dyDescent="0.2">
      <c r="A346" s="5"/>
      <c r="B346" s="4"/>
    </row>
    <row r="347" spans="1:2" x14ac:dyDescent="0.2">
      <c r="A347" s="5"/>
      <c r="B347" s="4"/>
    </row>
    <row r="348" spans="1:2" x14ac:dyDescent="0.2">
      <c r="A348" s="5"/>
      <c r="B348" s="4"/>
    </row>
    <row r="349" spans="1:2" x14ac:dyDescent="0.2">
      <c r="A349" s="5"/>
      <c r="B349" s="4"/>
    </row>
    <row r="350" spans="1:2" x14ac:dyDescent="0.2">
      <c r="A350" s="5"/>
      <c r="B350" s="4"/>
    </row>
    <row r="351" spans="1:2" x14ac:dyDescent="0.2">
      <c r="A351" s="5"/>
      <c r="B351" s="4"/>
    </row>
    <row r="352" spans="1:2" x14ac:dyDescent="0.2">
      <c r="A352" s="5"/>
      <c r="B352" s="4"/>
    </row>
    <row r="353" spans="1:2" x14ac:dyDescent="0.2">
      <c r="A353" s="5"/>
      <c r="B353" s="4"/>
    </row>
    <row r="354" spans="1:2" x14ac:dyDescent="0.2">
      <c r="A354" s="5"/>
      <c r="B354" s="4"/>
    </row>
    <row r="355" spans="1:2" x14ac:dyDescent="0.2">
      <c r="A355" s="5"/>
      <c r="B355" s="4"/>
    </row>
    <row r="356" spans="1:2" x14ac:dyDescent="0.2">
      <c r="A356" s="5"/>
      <c r="B356" s="4"/>
    </row>
    <row r="357" spans="1:2" x14ac:dyDescent="0.2">
      <c r="A357" s="5"/>
      <c r="B357" s="4"/>
    </row>
    <row r="358" spans="1:2" x14ac:dyDescent="0.2">
      <c r="A358" s="5"/>
      <c r="B358" s="4"/>
    </row>
    <row r="359" spans="1:2" x14ac:dyDescent="0.2">
      <c r="A359" s="5"/>
      <c r="B359" s="4"/>
    </row>
    <row r="360" spans="1:2" x14ac:dyDescent="0.2">
      <c r="A360" s="5"/>
      <c r="B360" s="4"/>
    </row>
    <row r="361" spans="1:2" x14ac:dyDescent="0.2">
      <c r="A361" s="5"/>
      <c r="B361" s="4"/>
    </row>
    <row r="362" spans="1:2" x14ac:dyDescent="0.2">
      <c r="A362" s="5"/>
      <c r="B362" s="4"/>
    </row>
    <row r="363" spans="1:2" x14ac:dyDescent="0.2">
      <c r="A363" s="5"/>
      <c r="B363" s="4"/>
    </row>
    <row r="364" spans="1:2" x14ac:dyDescent="0.2">
      <c r="A364" s="5"/>
      <c r="B364" s="4"/>
    </row>
    <row r="365" spans="1:2" x14ac:dyDescent="0.2">
      <c r="A365" s="5"/>
      <c r="B365" s="4"/>
    </row>
    <row r="366" spans="1:2" x14ac:dyDescent="0.2">
      <c r="A366" s="5"/>
      <c r="B366" s="4"/>
    </row>
    <row r="367" spans="1:2" x14ac:dyDescent="0.2">
      <c r="A367" s="5"/>
      <c r="B367" s="4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E25"/>
  <sheetViews>
    <sheetView workbookViewId="0">
      <selection activeCell="C14" sqref="C14"/>
    </sheetView>
  </sheetViews>
  <sheetFormatPr defaultRowHeight="12.75" x14ac:dyDescent="0.2"/>
  <cols>
    <col min="1" max="1" width="18.85546875" customWidth="1"/>
    <col min="2" max="2" width="11.85546875" customWidth="1"/>
    <col min="3" max="3" width="9.7109375" customWidth="1"/>
    <col min="4" max="4" width="32" bestFit="1" customWidth="1"/>
    <col min="5" max="5" width="14" customWidth="1"/>
  </cols>
  <sheetData>
    <row r="1" spans="1:5" ht="18" x14ac:dyDescent="0.25">
      <c r="A1" s="97" t="s">
        <v>21</v>
      </c>
      <c r="B1" s="97"/>
      <c r="C1" s="97"/>
      <c r="D1" s="97"/>
    </row>
    <row r="2" spans="1:5" x14ac:dyDescent="0.2">
      <c r="A2" t="s">
        <v>22</v>
      </c>
      <c r="B2" s="4">
        <v>4000</v>
      </c>
    </row>
    <row r="3" spans="1:5" x14ac:dyDescent="0.2">
      <c r="A3" t="s">
        <v>28</v>
      </c>
      <c r="B3" s="4">
        <v>1500</v>
      </c>
    </row>
    <row r="4" spans="1:5" x14ac:dyDescent="0.2">
      <c r="A4" t="s">
        <v>30</v>
      </c>
      <c r="B4" s="2">
        <v>0.15</v>
      </c>
    </row>
    <row r="6" spans="1:5" s="5" customFormat="1" ht="25.5" x14ac:dyDescent="0.2">
      <c r="A6" s="6" t="s">
        <v>20</v>
      </c>
      <c r="B6" s="16" t="s">
        <v>112</v>
      </c>
      <c r="C6" s="16" t="s">
        <v>113</v>
      </c>
    </row>
    <row r="7" spans="1:5" x14ac:dyDescent="0.2">
      <c r="A7" s="5">
        <v>0</v>
      </c>
      <c r="B7" s="4">
        <f>B2</f>
        <v>4000</v>
      </c>
      <c r="C7" s="4">
        <f>B3</f>
        <v>1500</v>
      </c>
    </row>
    <row r="8" spans="1:5" x14ac:dyDescent="0.2">
      <c r="A8" s="5">
        <v>1</v>
      </c>
      <c r="B8" s="1"/>
      <c r="C8" s="4">
        <f>C7</f>
        <v>1500</v>
      </c>
    </row>
    <row r="9" spans="1:5" x14ac:dyDescent="0.2">
      <c r="A9" s="5">
        <v>2</v>
      </c>
      <c r="B9" s="1"/>
      <c r="C9" s="4">
        <f>C8</f>
        <v>1500</v>
      </c>
    </row>
    <row r="10" spans="1:5" x14ac:dyDescent="0.2">
      <c r="A10" s="5">
        <v>3</v>
      </c>
      <c r="B10" s="1"/>
      <c r="C10" s="4">
        <f>C9</f>
        <v>1500</v>
      </c>
    </row>
    <row r="11" spans="1:5" x14ac:dyDescent="0.2">
      <c r="B11" s="1"/>
      <c r="C11" s="1"/>
    </row>
    <row r="12" spans="1:5" x14ac:dyDescent="0.2">
      <c r="A12" t="s">
        <v>24</v>
      </c>
      <c r="B12" s="51">
        <f>B7+NPV($B$4,B8:B10)</f>
        <v>4000</v>
      </c>
      <c r="C12" s="51">
        <f>C7+NPV($B$4,C8:C10)</f>
        <v>4924.837675680119</v>
      </c>
      <c r="D12" t="e">
        <f ca="1">"&lt;-- "&amp;_xlfn.FORMULATEXT(C12)</f>
        <v>#NAME?</v>
      </c>
    </row>
    <row r="13" spans="1:5" x14ac:dyDescent="0.2">
      <c r="A13" t="s">
        <v>23</v>
      </c>
      <c r="B13" s="76" t="str">
        <f>IF(B12&lt;C12,"purchase","lease")</f>
        <v>purchase</v>
      </c>
      <c r="C13" t="e">
        <f ca="1">"&lt;-- "&amp;_xlfn.FORMULATEXT(B13)</f>
        <v>#NAME?</v>
      </c>
    </row>
    <row r="15" spans="1:5" x14ac:dyDescent="0.2">
      <c r="A15" s="7"/>
    </row>
    <row r="16" spans="1:5" x14ac:dyDescent="0.2">
      <c r="A16" s="5"/>
      <c r="B16" s="20"/>
      <c r="E16" s="20"/>
    </row>
    <row r="17" spans="1:5" x14ac:dyDescent="0.2">
      <c r="A17" s="5"/>
      <c r="B17" s="1"/>
      <c r="E17" s="4"/>
    </row>
    <row r="18" spans="1:5" x14ac:dyDescent="0.2">
      <c r="A18" s="5"/>
      <c r="B18" s="1"/>
      <c r="E18" s="4"/>
    </row>
    <row r="19" spans="1:5" x14ac:dyDescent="0.2">
      <c r="A19" s="5"/>
      <c r="B19" s="1"/>
      <c r="E19" s="4"/>
    </row>
    <row r="20" spans="1:5" x14ac:dyDescent="0.2">
      <c r="A20" s="5"/>
      <c r="B20" s="1"/>
      <c r="E20" s="4"/>
    </row>
    <row r="21" spans="1:5" x14ac:dyDescent="0.2">
      <c r="E21" s="4"/>
    </row>
    <row r="22" spans="1:5" x14ac:dyDescent="0.2">
      <c r="B22" s="10"/>
    </row>
    <row r="23" spans="1:5" x14ac:dyDescent="0.2">
      <c r="B23" s="5"/>
    </row>
    <row r="25" spans="1:5" x14ac:dyDescent="0.2">
      <c r="A25" s="24"/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E24"/>
  <sheetViews>
    <sheetView workbookViewId="0">
      <selection sqref="A1:E1"/>
    </sheetView>
  </sheetViews>
  <sheetFormatPr defaultRowHeight="12.75" x14ac:dyDescent="0.2"/>
  <cols>
    <col min="1" max="1" width="26.7109375" customWidth="1"/>
    <col min="2" max="2" width="11.85546875" customWidth="1"/>
    <col min="3" max="3" width="9.7109375" customWidth="1"/>
    <col min="4" max="4" width="13.7109375" customWidth="1"/>
    <col min="5" max="5" width="31" bestFit="1" customWidth="1"/>
  </cols>
  <sheetData>
    <row r="1" spans="1:5" ht="36.75" customHeight="1" x14ac:dyDescent="0.2">
      <c r="A1" s="96" t="s">
        <v>67</v>
      </c>
      <c r="B1" s="96"/>
      <c r="C1" s="96"/>
      <c r="D1" s="96"/>
      <c r="E1" s="96"/>
    </row>
    <row r="2" spans="1:5" x14ac:dyDescent="0.2">
      <c r="A2" t="s">
        <v>22</v>
      </c>
      <c r="B2" s="1">
        <v>4000</v>
      </c>
    </row>
    <row r="3" spans="1:5" x14ac:dyDescent="0.2">
      <c r="A3" t="s">
        <v>28</v>
      </c>
      <c r="B3" s="1">
        <v>1500</v>
      </c>
    </row>
    <row r="4" spans="1:5" x14ac:dyDescent="0.2">
      <c r="A4" t="s">
        <v>30</v>
      </c>
      <c r="B4" s="2">
        <v>0.15</v>
      </c>
    </row>
    <row r="6" spans="1:5" s="5" customFormat="1" ht="25.5" x14ac:dyDescent="0.2">
      <c r="A6" s="6" t="s">
        <v>20</v>
      </c>
      <c r="B6" s="16" t="s">
        <v>112</v>
      </c>
      <c r="C6" s="16" t="s">
        <v>113</v>
      </c>
      <c r="D6" s="16" t="s">
        <v>117</v>
      </c>
    </row>
    <row r="7" spans="1:5" x14ac:dyDescent="0.2">
      <c r="A7" s="5">
        <v>0</v>
      </c>
      <c r="B7" s="1">
        <f>B2</f>
        <v>4000</v>
      </c>
      <c r="C7" s="1">
        <f>B3</f>
        <v>1500</v>
      </c>
      <c r="D7" s="1">
        <f>B7-C7</f>
        <v>2500</v>
      </c>
      <c r="E7" t="e">
        <f ca="1">"&lt;-- "&amp;_xlfn.FORMULATEXT(D7)</f>
        <v>#NAME?</v>
      </c>
    </row>
    <row r="8" spans="1:5" x14ac:dyDescent="0.2">
      <c r="A8" s="5">
        <v>1</v>
      </c>
      <c r="B8" s="1"/>
      <c r="C8" s="1">
        <f>C7</f>
        <v>1500</v>
      </c>
      <c r="D8" s="1">
        <f>B8-C8</f>
        <v>-1500</v>
      </c>
      <c r="E8" t="e">
        <f t="shared" ref="E8:E13" ca="1" si="0">"&lt;-- "&amp;_xlfn.FORMULATEXT(D8)</f>
        <v>#NAME?</v>
      </c>
    </row>
    <row r="9" spans="1:5" x14ac:dyDescent="0.2">
      <c r="A9" s="5">
        <v>2</v>
      </c>
      <c r="B9" s="1"/>
      <c r="C9" s="1">
        <f>C8</f>
        <v>1500</v>
      </c>
      <c r="D9" s="1">
        <f>B9-C9</f>
        <v>-1500</v>
      </c>
      <c r="E9" t="e">
        <f t="shared" ca="1" si="0"/>
        <v>#NAME?</v>
      </c>
    </row>
    <row r="10" spans="1:5" x14ac:dyDescent="0.2">
      <c r="A10" s="5">
        <v>3</v>
      </c>
      <c r="B10" s="1"/>
      <c r="C10" s="1">
        <f>C9</f>
        <v>1500</v>
      </c>
      <c r="D10" s="1">
        <f>B10-C10</f>
        <v>-1500</v>
      </c>
      <c r="E10" t="e">
        <f t="shared" ca="1" si="0"/>
        <v>#NAME?</v>
      </c>
    </row>
    <row r="11" spans="1:5" x14ac:dyDescent="0.2">
      <c r="A11" s="5"/>
      <c r="B11" s="1"/>
      <c r="C11" s="1"/>
      <c r="D11" s="1"/>
    </row>
    <row r="12" spans="1:5" x14ac:dyDescent="0.2">
      <c r="A12" s="17" t="s">
        <v>66</v>
      </c>
      <c r="B12" s="1"/>
      <c r="C12" s="1"/>
      <c r="D12" s="32">
        <f>IRR(D7:D10)</f>
        <v>0.36309653947028364</v>
      </c>
      <c r="E12" t="e">
        <f t="shared" ca="1" si="0"/>
        <v>#NAME?</v>
      </c>
    </row>
    <row r="13" spans="1:5" x14ac:dyDescent="0.2">
      <c r="A13" t="s">
        <v>23</v>
      </c>
      <c r="D13" s="44" t="str">
        <f>IF(D12&gt;B4,"purchase","lease")</f>
        <v>purchase</v>
      </c>
      <c r="E13" t="e">
        <f t="shared" ca="1" si="0"/>
        <v>#NAME?</v>
      </c>
    </row>
    <row r="14" spans="1:5" x14ac:dyDescent="0.2">
      <c r="A14" s="17"/>
      <c r="B14" s="1"/>
      <c r="C14" s="1"/>
      <c r="D14" s="41"/>
    </row>
    <row r="15" spans="1:5" ht="27" customHeight="1" x14ac:dyDescent="0.2">
      <c r="A15" s="102" t="s">
        <v>85</v>
      </c>
      <c r="B15" s="103"/>
      <c r="C15" s="103"/>
      <c r="D15" s="103"/>
      <c r="E15" s="103"/>
    </row>
    <row r="16" spans="1:5" x14ac:dyDescent="0.2">
      <c r="B16" s="1"/>
      <c r="C16" s="1"/>
      <c r="D16" s="1"/>
    </row>
    <row r="17" spans="1:5" s="43" customFormat="1" ht="15.75" x14ac:dyDescent="0.25">
      <c r="A17" s="8" t="s">
        <v>114</v>
      </c>
      <c r="B17" s="42"/>
      <c r="C17" s="42"/>
      <c r="D17" s="42"/>
    </row>
    <row r="18" spans="1:5" s="6" customFormat="1" ht="38.25" x14ac:dyDescent="0.2">
      <c r="A18" s="6" t="s">
        <v>20</v>
      </c>
      <c r="B18" s="16" t="s">
        <v>68</v>
      </c>
      <c r="D18" s="16" t="s">
        <v>29</v>
      </c>
    </row>
    <row r="19" spans="1:5" x14ac:dyDescent="0.2">
      <c r="A19" s="5">
        <v>0</v>
      </c>
      <c r="B19" s="1">
        <f>D7</f>
        <v>2500</v>
      </c>
      <c r="D19" s="4">
        <f>D7</f>
        <v>2500</v>
      </c>
    </row>
    <row r="20" spans="1:5" x14ac:dyDescent="0.2">
      <c r="A20" s="5">
        <v>1</v>
      </c>
      <c r="B20" s="1">
        <f>D8</f>
        <v>-1500</v>
      </c>
      <c r="D20" s="4">
        <f>PMT($B$4,3,$D$19)</f>
        <v>-1094.9424046076315</v>
      </c>
      <c r="E20" t="e">
        <f ca="1">"&lt;-- "&amp;_xlfn.FORMULATEXT(D20)</f>
        <v>#NAME?</v>
      </c>
    </row>
    <row r="21" spans="1:5" x14ac:dyDescent="0.2">
      <c r="A21" s="5">
        <v>2</v>
      </c>
      <c r="B21" s="1">
        <f>D9</f>
        <v>-1500</v>
      </c>
      <c r="D21" s="4">
        <f>PMT($B$4,3,$D$19)</f>
        <v>-1094.9424046076315</v>
      </c>
    </row>
    <row r="22" spans="1:5" x14ac:dyDescent="0.2">
      <c r="A22" s="5">
        <v>3</v>
      </c>
      <c r="B22" s="1">
        <f>D10</f>
        <v>-1500</v>
      </c>
      <c r="D22" s="4">
        <f>PMT($B$4,3,$D$19)</f>
        <v>-1094.9424046076315</v>
      </c>
    </row>
    <row r="23" spans="1:5" x14ac:dyDescent="0.2">
      <c r="E23" s="4"/>
    </row>
    <row r="24" spans="1:5" x14ac:dyDescent="0.2">
      <c r="B24" s="10"/>
    </row>
  </sheetData>
  <mergeCells count="2">
    <mergeCell ref="A1:E1"/>
    <mergeCell ref="A15:E15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E24"/>
  <sheetViews>
    <sheetView workbookViewId="0">
      <selection sqref="A1:D1"/>
    </sheetView>
  </sheetViews>
  <sheetFormatPr defaultRowHeight="12.75" x14ac:dyDescent="0.2"/>
  <cols>
    <col min="1" max="1" width="18.85546875" customWidth="1"/>
    <col min="2" max="2" width="11.85546875" customWidth="1"/>
    <col min="3" max="3" width="10.28515625" customWidth="1"/>
    <col min="4" max="4" width="32" bestFit="1" customWidth="1"/>
    <col min="5" max="5" width="14" customWidth="1"/>
  </cols>
  <sheetData>
    <row r="1" spans="1:4" ht="18" x14ac:dyDescent="0.2">
      <c r="A1" s="101" t="s">
        <v>32</v>
      </c>
      <c r="B1" s="101"/>
      <c r="C1" s="101"/>
      <c r="D1" s="101"/>
    </row>
    <row r="2" spans="1:4" x14ac:dyDescent="0.2">
      <c r="A2" t="s">
        <v>22</v>
      </c>
      <c r="B2" s="4">
        <v>4000</v>
      </c>
    </row>
    <row r="3" spans="1:4" x14ac:dyDescent="0.2">
      <c r="A3" t="s">
        <v>28</v>
      </c>
      <c r="B3" s="4">
        <v>1500</v>
      </c>
    </row>
    <row r="4" spans="1:4" x14ac:dyDescent="0.2">
      <c r="A4" t="s">
        <v>33</v>
      </c>
      <c r="B4" s="1">
        <v>800</v>
      </c>
      <c r="C4" t="s">
        <v>34</v>
      </c>
    </row>
    <row r="5" spans="1:4" x14ac:dyDescent="0.2">
      <c r="A5" t="s">
        <v>30</v>
      </c>
      <c r="B5" s="2">
        <v>0.15</v>
      </c>
    </row>
    <row r="7" spans="1:4" ht="25.5" x14ac:dyDescent="0.2">
      <c r="A7" s="6" t="s">
        <v>20</v>
      </c>
      <c r="B7" s="16" t="s">
        <v>112</v>
      </c>
      <c r="C7" s="16" t="s">
        <v>113</v>
      </c>
    </row>
    <row r="8" spans="1:4" x14ac:dyDescent="0.2">
      <c r="A8" s="5">
        <v>0</v>
      </c>
      <c r="B8" s="4">
        <f>B2</f>
        <v>4000</v>
      </c>
      <c r="C8" s="4">
        <f>B3</f>
        <v>1500</v>
      </c>
    </row>
    <row r="9" spans="1:4" x14ac:dyDescent="0.2">
      <c r="A9" s="5">
        <v>1</v>
      </c>
      <c r="B9" s="4">
        <v>0</v>
      </c>
      <c r="C9" s="4">
        <f>C8</f>
        <v>1500</v>
      </c>
    </row>
    <row r="10" spans="1:4" x14ac:dyDescent="0.2">
      <c r="A10" s="5">
        <v>2</v>
      </c>
      <c r="B10" s="4">
        <v>0</v>
      </c>
      <c r="C10" s="4">
        <f>C9</f>
        <v>1500</v>
      </c>
    </row>
    <row r="11" spans="1:4" x14ac:dyDescent="0.2">
      <c r="A11" s="5">
        <v>3</v>
      </c>
      <c r="B11" s="4">
        <f>-B4</f>
        <v>-800</v>
      </c>
      <c r="C11" s="4">
        <f>C10</f>
        <v>1500</v>
      </c>
    </row>
    <row r="12" spans="1:4" x14ac:dyDescent="0.2">
      <c r="B12" s="4"/>
      <c r="C12" s="4"/>
    </row>
    <row r="13" spans="1:4" x14ac:dyDescent="0.2">
      <c r="A13" t="s">
        <v>24</v>
      </c>
      <c r="B13" s="51">
        <f>B8+NPV($B$5,B9:B11)</f>
        <v>3473.9870140544094</v>
      </c>
      <c r="C13" s="51">
        <f>C8+NPV($B$5,C9:C11)</f>
        <v>4924.837675680119</v>
      </c>
      <c r="D13" t="e">
        <f ca="1">"&lt;-- "&amp;_xlfn.FORMULATEXT(C13)</f>
        <v>#NAME?</v>
      </c>
    </row>
    <row r="14" spans="1:4" x14ac:dyDescent="0.2">
      <c r="A14" t="s">
        <v>23</v>
      </c>
      <c r="C14" s="5" t="str">
        <f>IF(B13&lt;C13,"purchase","lease")</f>
        <v>purchase</v>
      </c>
      <c r="D14" t="e">
        <f ca="1">"&lt;-- "&amp;_xlfn.FORMULATEXT(C14)</f>
        <v>#NAME?</v>
      </c>
    </row>
    <row r="16" spans="1:4" x14ac:dyDescent="0.2">
      <c r="A16" s="7" t="s">
        <v>26</v>
      </c>
    </row>
    <row r="17" spans="1:5" ht="38.25" x14ac:dyDescent="0.2">
      <c r="A17" s="6" t="s">
        <v>20</v>
      </c>
      <c r="B17" s="6"/>
      <c r="C17" s="16" t="s">
        <v>27</v>
      </c>
      <c r="E17" s="20"/>
    </row>
    <row r="18" spans="1:5" x14ac:dyDescent="0.2">
      <c r="A18" s="5">
        <v>0</v>
      </c>
      <c r="C18" s="4">
        <f>B8-C8</f>
        <v>2500</v>
      </c>
      <c r="D18" t="e">
        <f ca="1">"&lt;-- "&amp;_xlfn.FORMULATEXT(C18)</f>
        <v>#NAME?</v>
      </c>
      <c r="E18" s="4"/>
    </row>
    <row r="19" spans="1:5" x14ac:dyDescent="0.2">
      <c r="A19" s="5">
        <v>1</v>
      </c>
      <c r="C19" s="4">
        <f>B9-C9</f>
        <v>-1500</v>
      </c>
      <c r="D19" t="e">
        <f ca="1">"&lt;-- "&amp;_xlfn.FORMULATEXT(C19)</f>
        <v>#NAME?</v>
      </c>
      <c r="E19" s="4"/>
    </row>
    <row r="20" spans="1:5" x14ac:dyDescent="0.2">
      <c r="A20" s="5">
        <v>2</v>
      </c>
      <c r="C20" s="4">
        <f>B10-C10</f>
        <v>-1500</v>
      </c>
      <c r="E20" s="4"/>
    </row>
    <row r="21" spans="1:5" x14ac:dyDescent="0.2">
      <c r="A21" s="5">
        <v>3</v>
      </c>
      <c r="C21" s="4">
        <f>B11-C11</f>
        <v>-2300</v>
      </c>
      <c r="E21" s="4"/>
    </row>
    <row r="22" spans="1:5" x14ac:dyDescent="0.2">
      <c r="E22" s="4"/>
    </row>
    <row r="23" spans="1:5" x14ac:dyDescent="0.2">
      <c r="A23" t="s">
        <v>25</v>
      </c>
      <c r="C23" s="52">
        <f>IRR(C18:C21)</f>
        <v>0.45072414195070021</v>
      </c>
      <c r="D23" t="e">
        <f ca="1">"&lt;-- "&amp;_xlfn.FORMULATEXT(C23)</f>
        <v>#NAME?</v>
      </c>
    </row>
    <row r="24" spans="1:5" x14ac:dyDescent="0.2">
      <c r="A24" t="s">
        <v>23</v>
      </c>
      <c r="C24" s="76" t="str">
        <f>IF(C23&gt;B5,"purchase","lease")</f>
        <v>purchase</v>
      </c>
      <c r="D24" t="e">
        <f ca="1">"&lt;-- "&amp;_xlfn.FORMULATEXT(C24)</f>
        <v>#NAME?</v>
      </c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7"/>
  <sheetViews>
    <sheetView workbookViewId="0">
      <selection activeCell="A9" sqref="A9:C9"/>
    </sheetView>
  </sheetViews>
  <sheetFormatPr defaultRowHeight="12.75" x14ac:dyDescent="0.2"/>
  <cols>
    <col min="1" max="1" width="30.5703125" bestFit="1" customWidth="1"/>
    <col min="2" max="2" width="9.28515625" customWidth="1"/>
    <col min="3" max="3" width="9.7109375" customWidth="1"/>
    <col min="4" max="4" width="14.140625" customWidth="1"/>
  </cols>
  <sheetData>
    <row r="1" spans="1:5" x14ac:dyDescent="0.2">
      <c r="A1" s="104" t="s">
        <v>151</v>
      </c>
      <c r="B1" s="104"/>
      <c r="C1" s="104"/>
      <c r="D1" s="104"/>
      <c r="E1" s="104"/>
    </row>
    <row r="2" spans="1:5" x14ac:dyDescent="0.2">
      <c r="A2" s="78" t="s">
        <v>152</v>
      </c>
      <c r="B2" s="1">
        <v>20000</v>
      </c>
    </row>
    <row r="3" spans="1:5" x14ac:dyDescent="0.2">
      <c r="A3" t="s">
        <v>153</v>
      </c>
      <c r="B3" s="1">
        <v>2000</v>
      </c>
    </row>
    <row r="4" spans="1:5" x14ac:dyDescent="0.2">
      <c r="A4" t="s">
        <v>157</v>
      </c>
      <c r="B4" s="1">
        <v>400</v>
      </c>
    </row>
    <row r="5" spans="1:5" x14ac:dyDescent="0.2">
      <c r="A5" t="s">
        <v>154</v>
      </c>
      <c r="B5" s="1">
        <v>10000</v>
      </c>
    </row>
    <row r="6" spans="1:5" x14ac:dyDescent="0.2">
      <c r="A6" s="78" t="s">
        <v>155</v>
      </c>
      <c r="B6" s="1">
        <v>8000</v>
      </c>
    </row>
    <row r="7" spans="1:5" x14ac:dyDescent="0.2">
      <c r="A7" s="78" t="s">
        <v>156</v>
      </c>
      <c r="B7" s="1">
        <f>MAX(B5-B6,0)</f>
        <v>2000</v>
      </c>
      <c r="C7" t="e">
        <f ca="1">getformula(B7)</f>
        <v>#NAME?</v>
      </c>
    </row>
    <row r="8" spans="1:5" x14ac:dyDescent="0.2">
      <c r="B8" s="1"/>
    </row>
    <row r="9" spans="1:5" x14ac:dyDescent="0.2">
      <c r="A9" s="105" t="s">
        <v>66</v>
      </c>
      <c r="B9" s="105"/>
      <c r="C9" s="105"/>
    </row>
    <row r="10" spans="1:5" x14ac:dyDescent="0.2">
      <c r="A10" s="88" t="s">
        <v>158</v>
      </c>
      <c r="B10" s="91">
        <f>IRR(D16:D40)</f>
        <v>4.6812382205314584E-3</v>
      </c>
      <c r="C10" t="e">
        <f ca="1">getformula(B10)</f>
        <v>#NAME?</v>
      </c>
    </row>
    <row r="11" spans="1:5" x14ac:dyDescent="0.2">
      <c r="A11" s="88" t="s">
        <v>159</v>
      </c>
      <c r="B11" s="91">
        <f>(1+B10)^12-1</f>
        <v>5.7643990186261762E-2</v>
      </c>
      <c r="C11" t="e">
        <f ca="1">getformula(B11)</f>
        <v>#NAME?</v>
      </c>
    </row>
    <row r="12" spans="1:5" x14ac:dyDescent="0.2">
      <c r="A12" t="s">
        <v>160</v>
      </c>
      <c r="B12" s="2">
        <v>0.06</v>
      </c>
    </row>
    <row r="13" spans="1:5" x14ac:dyDescent="0.2">
      <c r="A13" s="88" t="s">
        <v>23</v>
      </c>
      <c r="B13" s="88" t="str">
        <f>IF(B11&lt;B12,"Lease","Purchase")</f>
        <v>Lease</v>
      </c>
      <c r="C13" t="e">
        <f ca="1">getformula(B13)</f>
        <v>#NAME?</v>
      </c>
    </row>
    <row r="15" spans="1:5" s="89" customFormat="1" ht="51" x14ac:dyDescent="0.2">
      <c r="A15" s="89" t="s">
        <v>3</v>
      </c>
      <c r="B15" s="89" t="s">
        <v>161</v>
      </c>
      <c r="C15" s="89" t="s">
        <v>162</v>
      </c>
      <c r="D15" s="89" t="s">
        <v>163</v>
      </c>
    </row>
    <row r="16" spans="1:5" x14ac:dyDescent="0.2">
      <c r="A16" s="85">
        <v>0</v>
      </c>
      <c r="B16" s="1">
        <f>-B3</f>
        <v>-2000</v>
      </c>
      <c r="C16" s="1">
        <f>-B2</f>
        <v>-20000</v>
      </c>
      <c r="D16" s="1">
        <f>B16-C16</f>
        <v>18000</v>
      </c>
      <c r="E16" t="e">
        <f ca="1">getformula(D16)</f>
        <v>#NAME?</v>
      </c>
    </row>
    <row r="17" spans="1:4" x14ac:dyDescent="0.2">
      <c r="A17" s="85">
        <v>1</v>
      </c>
      <c r="B17" s="1">
        <f>-$B$4</f>
        <v>-400</v>
      </c>
      <c r="D17" s="1">
        <f t="shared" ref="D17:D40" si="0">B17-C17</f>
        <v>-400</v>
      </c>
    </row>
    <row r="18" spans="1:4" x14ac:dyDescent="0.2">
      <c r="A18" s="85">
        <v>2</v>
      </c>
      <c r="B18" s="1">
        <f t="shared" ref="B18:B39" si="1">-$B$4</f>
        <v>-400</v>
      </c>
      <c r="D18" s="1">
        <f t="shared" si="0"/>
        <v>-400</v>
      </c>
    </row>
    <row r="19" spans="1:4" x14ac:dyDescent="0.2">
      <c r="A19" s="85">
        <v>3</v>
      </c>
      <c r="B19" s="1">
        <f t="shared" si="1"/>
        <v>-400</v>
      </c>
      <c r="D19" s="1">
        <f t="shared" si="0"/>
        <v>-400</v>
      </c>
    </row>
    <row r="20" spans="1:4" x14ac:dyDescent="0.2">
      <c r="A20" s="85">
        <v>4</v>
      </c>
      <c r="B20" s="1">
        <f t="shared" si="1"/>
        <v>-400</v>
      </c>
      <c r="D20" s="1">
        <f t="shared" si="0"/>
        <v>-400</v>
      </c>
    </row>
    <row r="21" spans="1:4" x14ac:dyDescent="0.2">
      <c r="A21" s="85">
        <v>5</v>
      </c>
      <c r="B21" s="1">
        <f t="shared" si="1"/>
        <v>-400</v>
      </c>
      <c r="D21" s="1">
        <f t="shared" si="0"/>
        <v>-400</v>
      </c>
    </row>
    <row r="22" spans="1:4" x14ac:dyDescent="0.2">
      <c r="A22" s="85">
        <v>6</v>
      </c>
      <c r="B22" s="1">
        <f t="shared" si="1"/>
        <v>-400</v>
      </c>
      <c r="D22" s="1">
        <f t="shared" si="0"/>
        <v>-400</v>
      </c>
    </row>
    <row r="23" spans="1:4" x14ac:dyDescent="0.2">
      <c r="A23" s="85">
        <v>7</v>
      </c>
      <c r="B23" s="1">
        <f t="shared" si="1"/>
        <v>-400</v>
      </c>
      <c r="D23" s="1">
        <f t="shared" si="0"/>
        <v>-400</v>
      </c>
    </row>
    <row r="24" spans="1:4" x14ac:dyDescent="0.2">
      <c r="A24" s="85">
        <v>8</v>
      </c>
      <c r="B24" s="1">
        <f t="shared" si="1"/>
        <v>-400</v>
      </c>
      <c r="D24" s="1">
        <f t="shared" si="0"/>
        <v>-400</v>
      </c>
    </row>
    <row r="25" spans="1:4" x14ac:dyDescent="0.2">
      <c r="A25" s="85">
        <v>9</v>
      </c>
      <c r="B25" s="1">
        <f t="shared" si="1"/>
        <v>-400</v>
      </c>
      <c r="D25" s="1">
        <f t="shared" si="0"/>
        <v>-400</v>
      </c>
    </row>
    <row r="26" spans="1:4" x14ac:dyDescent="0.2">
      <c r="A26" s="85">
        <v>10</v>
      </c>
      <c r="B26" s="1">
        <f t="shared" si="1"/>
        <v>-400</v>
      </c>
      <c r="D26" s="1">
        <f t="shared" si="0"/>
        <v>-400</v>
      </c>
    </row>
    <row r="27" spans="1:4" x14ac:dyDescent="0.2">
      <c r="A27" s="85">
        <v>11</v>
      </c>
      <c r="B27" s="1">
        <f t="shared" si="1"/>
        <v>-400</v>
      </c>
      <c r="D27" s="1">
        <f t="shared" si="0"/>
        <v>-400</v>
      </c>
    </row>
    <row r="28" spans="1:4" x14ac:dyDescent="0.2">
      <c r="A28" s="85">
        <v>12</v>
      </c>
      <c r="B28" s="1">
        <f t="shared" si="1"/>
        <v>-400</v>
      </c>
      <c r="D28" s="1">
        <f t="shared" si="0"/>
        <v>-400</v>
      </c>
    </row>
    <row r="29" spans="1:4" x14ac:dyDescent="0.2">
      <c r="A29" s="85">
        <v>13</v>
      </c>
      <c r="B29" s="1">
        <f t="shared" si="1"/>
        <v>-400</v>
      </c>
      <c r="D29" s="1">
        <f t="shared" si="0"/>
        <v>-400</v>
      </c>
    </row>
    <row r="30" spans="1:4" x14ac:dyDescent="0.2">
      <c r="A30" s="85">
        <v>14</v>
      </c>
      <c r="B30" s="1">
        <f t="shared" si="1"/>
        <v>-400</v>
      </c>
      <c r="D30" s="1">
        <f t="shared" si="0"/>
        <v>-400</v>
      </c>
    </row>
    <row r="31" spans="1:4" x14ac:dyDescent="0.2">
      <c r="A31" s="85">
        <v>15</v>
      </c>
      <c r="B31" s="1">
        <f t="shared" si="1"/>
        <v>-400</v>
      </c>
      <c r="D31" s="1">
        <f t="shared" si="0"/>
        <v>-400</v>
      </c>
    </row>
    <row r="32" spans="1:4" x14ac:dyDescent="0.2">
      <c r="A32" s="85">
        <v>16</v>
      </c>
      <c r="B32" s="1">
        <f t="shared" si="1"/>
        <v>-400</v>
      </c>
      <c r="D32" s="1">
        <f t="shared" si="0"/>
        <v>-400</v>
      </c>
    </row>
    <row r="33" spans="1:4" x14ac:dyDescent="0.2">
      <c r="A33" s="85">
        <v>17</v>
      </c>
      <c r="B33" s="1">
        <f t="shared" si="1"/>
        <v>-400</v>
      </c>
      <c r="D33" s="1">
        <f t="shared" si="0"/>
        <v>-400</v>
      </c>
    </row>
    <row r="34" spans="1:4" x14ac:dyDescent="0.2">
      <c r="A34" s="85">
        <v>18</v>
      </c>
      <c r="B34" s="1">
        <f t="shared" si="1"/>
        <v>-400</v>
      </c>
      <c r="D34" s="1">
        <f t="shared" si="0"/>
        <v>-400</v>
      </c>
    </row>
    <row r="35" spans="1:4" x14ac:dyDescent="0.2">
      <c r="A35" s="85">
        <v>19</v>
      </c>
      <c r="B35" s="1">
        <f t="shared" si="1"/>
        <v>-400</v>
      </c>
      <c r="D35" s="1">
        <f t="shared" si="0"/>
        <v>-400</v>
      </c>
    </row>
    <row r="36" spans="1:4" x14ac:dyDescent="0.2">
      <c r="A36" s="85">
        <v>20</v>
      </c>
      <c r="B36" s="1">
        <f t="shared" si="1"/>
        <v>-400</v>
      </c>
      <c r="D36" s="1">
        <f t="shared" si="0"/>
        <v>-400</v>
      </c>
    </row>
    <row r="37" spans="1:4" x14ac:dyDescent="0.2">
      <c r="A37" s="85">
        <v>21</v>
      </c>
      <c r="B37" s="1">
        <f t="shared" si="1"/>
        <v>-400</v>
      </c>
      <c r="D37" s="1">
        <f t="shared" si="0"/>
        <v>-400</v>
      </c>
    </row>
    <row r="38" spans="1:4" x14ac:dyDescent="0.2">
      <c r="A38" s="85">
        <v>22</v>
      </c>
      <c r="B38" s="1">
        <f t="shared" si="1"/>
        <v>-400</v>
      </c>
      <c r="D38" s="1">
        <f t="shared" si="0"/>
        <v>-400</v>
      </c>
    </row>
    <row r="39" spans="1:4" x14ac:dyDescent="0.2">
      <c r="A39" s="85">
        <v>23</v>
      </c>
      <c r="B39" s="1">
        <f t="shared" si="1"/>
        <v>-400</v>
      </c>
      <c r="D39" s="1">
        <f t="shared" si="0"/>
        <v>-400</v>
      </c>
    </row>
    <row r="40" spans="1:4" x14ac:dyDescent="0.2">
      <c r="A40" s="85">
        <v>24</v>
      </c>
      <c r="B40" s="1">
        <f>-$B$4-B7</f>
        <v>-2400</v>
      </c>
      <c r="C40" s="1">
        <f>B6</f>
        <v>8000</v>
      </c>
      <c r="D40" s="1">
        <f t="shared" si="0"/>
        <v>-10400</v>
      </c>
    </row>
    <row r="43" spans="1:4" x14ac:dyDescent="0.2">
      <c r="A43" s="105" t="s">
        <v>164</v>
      </c>
      <c r="B43" s="105"/>
      <c r="C43" s="105"/>
    </row>
    <row r="45" spans="1:4" ht="25.5" x14ac:dyDescent="0.2">
      <c r="A45" s="16" t="s">
        <v>165</v>
      </c>
      <c r="B45" s="16" t="s">
        <v>166</v>
      </c>
      <c r="C45" s="16" t="s">
        <v>167</v>
      </c>
    </row>
    <row r="46" spans="1:4" x14ac:dyDescent="0.2">
      <c r="A46" s="92"/>
      <c r="B46" s="92">
        <f>B11</f>
        <v>5.7643990186261762E-2</v>
      </c>
      <c r="C46" s="92" t="str">
        <f>B13</f>
        <v>Lease</v>
      </c>
      <c r="D46" s="90" t="s">
        <v>168</v>
      </c>
    </row>
    <row r="47" spans="1:4" x14ac:dyDescent="0.2">
      <c r="A47" s="25">
        <v>0</v>
      </c>
      <c r="B47" s="93">
        <f t="dataTable" ref="B47:C67" dt2D="0" dtr="0" r1="B6"/>
        <v>5.7643990186261762E-2</v>
      </c>
      <c r="C47" s="85" t="str">
        <v>Lease</v>
      </c>
    </row>
    <row r="48" spans="1:4" x14ac:dyDescent="0.2">
      <c r="A48" s="25">
        <v>1000</v>
      </c>
      <c r="B48" s="93">
        <v>5.7643990186261762E-2</v>
      </c>
      <c r="C48" s="85" t="str">
        <v>Lease</v>
      </c>
    </row>
    <row r="49" spans="1:3" x14ac:dyDescent="0.2">
      <c r="A49" s="25">
        <v>2000</v>
      </c>
      <c r="B49" s="93">
        <v>5.7643990186261762E-2</v>
      </c>
      <c r="C49" s="85" t="str">
        <v>Lease</v>
      </c>
    </row>
    <row r="50" spans="1:3" x14ac:dyDescent="0.2">
      <c r="A50" s="25">
        <v>3000</v>
      </c>
      <c r="B50" s="93">
        <v>5.7643990186261762E-2</v>
      </c>
      <c r="C50" s="85" t="str">
        <v>Lease</v>
      </c>
    </row>
    <row r="51" spans="1:3" x14ac:dyDescent="0.2">
      <c r="A51" s="25">
        <v>4000</v>
      </c>
      <c r="B51" s="93">
        <v>5.7643990186261762E-2</v>
      </c>
      <c r="C51" s="85" t="str">
        <v>Lease</v>
      </c>
    </row>
    <row r="52" spans="1:3" x14ac:dyDescent="0.2">
      <c r="A52" s="25">
        <v>5000</v>
      </c>
      <c r="B52" s="93">
        <v>5.7643990186261762E-2</v>
      </c>
      <c r="C52" s="85" t="str">
        <v>Lease</v>
      </c>
    </row>
    <row r="53" spans="1:3" x14ac:dyDescent="0.2">
      <c r="A53" s="25">
        <v>6000</v>
      </c>
      <c r="B53" s="93">
        <v>5.7643990186261762E-2</v>
      </c>
      <c r="C53" s="85" t="str">
        <v>Lease</v>
      </c>
    </row>
    <row r="54" spans="1:3" x14ac:dyDescent="0.2">
      <c r="A54" s="25">
        <v>7000</v>
      </c>
      <c r="B54" s="93">
        <v>5.7643990186261762E-2</v>
      </c>
      <c r="C54" s="85" t="str">
        <v>Lease</v>
      </c>
    </row>
    <row r="55" spans="1:3" x14ac:dyDescent="0.2">
      <c r="A55" s="25">
        <v>8000</v>
      </c>
      <c r="B55" s="93">
        <v>5.7643990186261762E-2</v>
      </c>
      <c r="C55" s="85" t="str">
        <v>Lease</v>
      </c>
    </row>
    <row r="56" spans="1:3" x14ac:dyDescent="0.2">
      <c r="A56" s="25">
        <v>9000</v>
      </c>
      <c r="B56" s="93">
        <v>5.7643990186261762E-2</v>
      </c>
      <c r="C56" s="85" t="str">
        <v>Lease</v>
      </c>
    </row>
    <row r="57" spans="1:3" x14ac:dyDescent="0.2">
      <c r="A57" s="25">
        <v>10000</v>
      </c>
      <c r="B57" s="93">
        <v>5.7643990186261762E-2</v>
      </c>
      <c r="C57" s="85" t="str">
        <v>Lease</v>
      </c>
    </row>
    <row r="58" spans="1:3" x14ac:dyDescent="0.2">
      <c r="A58" s="25">
        <v>10067.740782968556</v>
      </c>
      <c r="B58" s="93">
        <v>6.0000004751669556E-2</v>
      </c>
      <c r="C58" s="85" t="str">
        <v>Purchase</v>
      </c>
    </row>
    <row r="59" spans="1:3" x14ac:dyDescent="0.2">
      <c r="A59" s="25">
        <v>11000</v>
      </c>
      <c r="B59" s="93">
        <v>9.1797024746395062E-2</v>
      </c>
      <c r="C59" s="85" t="str">
        <v>Purchase</v>
      </c>
    </row>
    <row r="60" spans="1:3" x14ac:dyDescent="0.2">
      <c r="A60" s="25">
        <v>12000</v>
      </c>
      <c r="B60" s="93">
        <v>0.12469946821362021</v>
      </c>
      <c r="C60" s="85" t="str">
        <v>Purchase</v>
      </c>
    </row>
    <row r="61" spans="1:3" x14ac:dyDescent="0.2">
      <c r="A61" s="25">
        <v>13000</v>
      </c>
      <c r="B61" s="93">
        <v>0.15647928896909358</v>
      </c>
      <c r="C61" s="85" t="str">
        <v>Purchase</v>
      </c>
    </row>
    <row r="62" spans="1:3" x14ac:dyDescent="0.2">
      <c r="A62" s="25">
        <v>14000</v>
      </c>
      <c r="B62" s="93">
        <v>0.18724399372885592</v>
      </c>
      <c r="C62" s="85" t="str">
        <v>Purchase</v>
      </c>
    </row>
    <row r="63" spans="1:3" x14ac:dyDescent="0.2">
      <c r="A63" s="25">
        <v>15000</v>
      </c>
      <c r="B63" s="93">
        <v>0.21708493777771065</v>
      </c>
      <c r="C63" s="85" t="str">
        <v>Purchase</v>
      </c>
    </row>
    <row r="64" spans="1:3" x14ac:dyDescent="0.2">
      <c r="A64" s="25">
        <v>16000</v>
      </c>
      <c r="B64" s="93">
        <v>0.24608053311750377</v>
      </c>
      <c r="C64" s="85" t="str">
        <v>Purchase</v>
      </c>
    </row>
    <row r="65" spans="1:3" x14ac:dyDescent="0.2">
      <c r="A65" s="25">
        <v>17000</v>
      </c>
      <c r="B65" s="93">
        <v>0.27429868062959728</v>
      </c>
      <c r="C65" s="85" t="str">
        <v>Purchase</v>
      </c>
    </row>
    <row r="66" spans="1:3" x14ac:dyDescent="0.2">
      <c r="A66" s="25">
        <v>18000</v>
      </c>
      <c r="B66" s="93">
        <v>0.30179864413247803</v>
      </c>
      <c r="C66" s="85" t="str">
        <v>Purchase</v>
      </c>
    </row>
    <row r="67" spans="1:3" x14ac:dyDescent="0.2">
      <c r="A67" s="25">
        <v>19000</v>
      </c>
      <c r="B67" s="93">
        <v>0.32863251536650018</v>
      </c>
      <c r="C67" s="85" t="str">
        <v>Purchase</v>
      </c>
    </row>
  </sheetData>
  <mergeCells count="3">
    <mergeCell ref="A1:E1"/>
    <mergeCell ref="A9:C9"/>
    <mergeCell ref="A43:C43"/>
  </mergeCells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7"/>
  <sheetViews>
    <sheetView workbookViewId="0">
      <selection activeCell="F10" sqref="F10:J12"/>
    </sheetView>
  </sheetViews>
  <sheetFormatPr defaultRowHeight="12.75" x14ac:dyDescent="0.2"/>
  <cols>
    <col min="1" max="1" width="30.5703125" customWidth="1"/>
    <col min="2" max="2" width="9.28515625" customWidth="1"/>
    <col min="3" max="3" width="9.7109375" customWidth="1"/>
    <col min="4" max="4" width="14.140625" customWidth="1"/>
    <col min="6" max="8" width="12.7109375" customWidth="1"/>
    <col min="9" max="9" width="11.7109375" customWidth="1"/>
    <col min="10" max="10" width="11.85546875" customWidth="1"/>
  </cols>
  <sheetData>
    <row r="1" spans="1:10" x14ac:dyDescent="0.2">
      <c r="A1" s="104" t="s">
        <v>169</v>
      </c>
      <c r="B1" s="104"/>
      <c r="C1" s="104"/>
      <c r="D1" s="104"/>
      <c r="E1" s="104"/>
      <c r="F1" s="104"/>
      <c r="G1" s="104"/>
      <c r="H1" s="104"/>
      <c r="I1" s="104"/>
      <c r="J1" s="104"/>
    </row>
    <row r="2" spans="1:10" x14ac:dyDescent="0.2">
      <c r="A2" s="78" t="s">
        <v>152</v>
      </c>
      <c r="B2" s="1">
        <v>20000</v>
      </c>
    </row>
    <row r="3" spans="1:10" x14ac:dyDescent="0.2">
      <c r="A3" t="s">
        <v>153</v>
      </c>
      <c r="B3" s="1">
        <v>2000</v>
      </c>
    </row>
    <row r="4" spans="1:10" x14ac:dyDescent="0.2">
      <c r="A4" t="s">
        <v>157</v>
      </c>
      <c r="B4" s="1">
        <v>400</v>
      </c>
      <c r="F4" s="106" t="s">
        <v>170</v>
      </c>
      <c r="G4" s="107"/>
      <c r="H4" s="107"/>
      <c r="I4" s="107"/>
      <c r="J4" s="107"/>
    </row>
    <row r="5" spans="1:10" x14ac:dyDescent="0.2">
      <c r="A5" t="s">
        <v>154</v>
      </c>
      <c r="B5" s="1">
        <v>10000</v>
      </c>
      <c r="F5" s="107"/>
      <c r="G5" s="107"/>
      <c r="H5" s="107"/>
      <c r="I5" s="107"/>
      <c r="J5" s="107"/>
    </row>
    <row r="6" spans="1:10" x14ac:dyDescent="0.2">
      <c r="A6" s="78" t="s">
        <v>155</v>
      </c>
      <c r="B6" s="1">
        <v>10067.739523599188</v>
      </c>
      <c r="F6" s="107"/>
      <c r="G6" s="107"/>
      <c r="H6" s="107"/>
      <c r="I6" s="107"/>
      <c r="J6" s="107"/>
    </row>
    <row r="7" spans="1:10" x14ac:dyDescent="0.2">
      <c r="A7" s="78" t="s">
        <v>156</v>
      </c>
      <c r="B7" s="1">
        <f>MAX(B5-B6,0)</f>
        <v>0</v>
      </c>
      <c r="C7" t="e">
        <f ca="1">getformula(B7)</f>
        <v>#NAME?</v>
      </c>
      <c r="F7" s="107"/>
      <c r="G7" s="107"/>
      <c r="H7" s="107"/>
      <c r="I7" s="107"/>
      <c r="J7" s="107"/>
    </row>
    <row r="8" spans="1:10" x14ac:dyDescent="0.2">
      <c r="B8" s="1"/>
    </row>
    <row r="9" spans="1:10" x14ac:dyDescent="0.2">
      <c r="A9" s="105" t="s">
        <v>66</v>
      </c>
      <c r="B9" s="105"/>
      <c r="C9" s="105"/>
    </row>
    <row r="10" spans="1:10" x14ac:dyDescent="0.2">
      <c r="A10" s="88" t="s">
        <v>158</v>
      </c>
      <c r="B10" s="91">
        <f>IRR(D16:D40)</f>
        <v>4.8675474852082345E-3</v>
      </c>
      <c r="C10" t="e">
        <f ca="1">getformula(B10)</f>
        <v>#NAME?</v>
      </c>
      <c r="F10" s="108" t="s">
        <v>171</v>
      </c>
      <c r="G10" s="108"/>
      <c r="H10" s="108"/>
      <c r="I10" s="108"/>
      <c r="J10" s="108"/>
    </row>
    <row r="11" spans="1:10" x14ac:dyDescent="0.2">
      <c r="A11" s="88" t="s">
        <v>159</v>
      </c>
      <c r="B11" s="91">
        <f>(1+B10)^12-1</f>
        <v>5.9999961010468672E-2</v>
      </c>
      <c r="C11" t="e">
        <f ca="1">getformula(B11)</f>
        <v>#NAME?</v>
      </c>
      <c r="F11" s="108"/>
      <c r="G11" s="108"/>
      <c r="H11" s="108"/>
      <c r="I11" s="108"/>
      <c r="J11" s="108"/>
    </row>
    <row r="12" spans="1:10" x14ac:dyDescent="0.2">
      <c r="A12" t="s">
        <v>160</v>
      </c>
      <c r="B12" s="2">
        <v>0.06</v>
      </c>
      <c r="F12" s="108"/>
      <c r="G12" s="108"/>
      <c r="H12" s="108"/>
      <c r="I12" s="108"/>
      <c r="J12" s="108"/>
    </row>
    <row r="13" spans="1:10" x14ac:dyDescent="0.2">
      <c r="A13" s="88" t="s">
        <v>23</v>
      </c>
      <c r="B13" s="88" t="str">
        <f>IF(B11&lt;B12,"Lease","Purchase")</f>
        <v>Lease</v>
      </c>
      <c r="C13" t="e">
        <f ca="1">getformula(B13)</f>
        <v>#NAME?</v>
      </c>
    </row>
    <row r="15" spans="1:10" s="89" customFormat="1" ht="51" x14ac:dyDescent="0.2">
      <c r="A15" s="89" t="s">
        <v>3</v>
      </c>
      <c r="B15" s="89" t="s">
        <v>161</v>
      </c>
      <c r="C15" s="89" t="s">
        <v>162</v>
      </c>
      <c r="D15" s="89" t="s">
        <v>163</v>
      </c>
    </row>
    <row r="16" spans="1:10" x14ac:dyDescent="0.2">
      <c r="A16" s="85">
        <v>0</v>
      </c>
      <c r="B16" s="1">
        <f>-B3</f>
        <v>-2000</v>
      </c>
      <c r="C16" s="1">
        <f>-B2</f>
        <v>-20000</v>
      </c>
      <c r="D16" s="1">
        <f>B16-C16</f>
        <v>18000</v>
      </c>
      <c r="E16" t="e">
        <f ca="1">getformula(D16)</f>
        <v>#NAME?</v>
      </c>
    </row>
    <row r="17" spans="1:4" x14ac:dyDescent="0.2">
      <c r="A17" s="85">
        <v>1</v>
      </c>
      <c r="B17" s="1">
        <f>-$B$4</f>
        <v>-400</v>
      </c>
      <c r="D17" s="1">
        <f t="shared" ref="D17:D40" si="0">B17-C17</f>
        <v>-400</v>
      </c>
    </row>
    <row r="18" spans="1:4" x14ac:dyDescent="0.2">
      <c r="A18" s="85">
        <v>2</v>
      </c>
      <c r="B18" s="1">
        <f t="shared" ref="B18:B39" si="1">-$B$4</f>
        <v>-400</v>
      </c>
      <c r="D18" s="1">
        <f t="shared" si="0"/>
        <v>-400</v>
      </c>
    </row>
    <row r="19" spans="1:4" x14ac:dyDescent="0.2">
      <c r="A19" s="85">
        <v>3</v>
      </c>
      <c r="B19" s="1">
        <f t="shared" si="1"/>
        <v>-400</v>
      </c>
      <c r="D19" s="1">
        <f t="shared" si="0"/>
        <v>-400</v>
      </c>
    </row>
    <row r="20" spans="1:4" x14ac:dyDescent="0.2">
      <c r="A20" s="85">
        <v>4</v>
      </c>
      <c r="B20" s="1">
        <f t="shared" si="1"/>
        <v>-400</v>
      </c>
      <c r="D20" s="1">
        <f t="shared" si="0"/>
        <v>-400</v>
      </c>
    </row>
    <row r="21" spans="1:4" x14ac:dyDescent="0.2">
      <c r="A21" s="85">
        <v>5</v>
      </c>
      <c r="B21" s="1">
        <f t="shared" si="1"/>
        <v>-400</v>
      </c>
      <c r="D21" s="1">
        <f t="shared" si="0"/>
        <v>-400</v>
      </c>
    </row>
    <row r="22" spans="1:4" x14ac:dyDescent="0.2">
      <c r="A22" s="85">
        <v>6</v>
      </c>
      <c r="B22" s="1">
        <f t="shared" si="1"/>
        <v>-400</v>
      </c>
      <c r="D22" s="1">
        <f t="shared" si="0"/>
        <v>-400</v>
      </c>
    </row>
    <row r="23" spans="1:4" x14ac:dyDescent="0.2">
      <c r="A23" s="85">
        <v>7</v>
      </c>
      <c r="B23" s="1">
        <f t="shared" si="1"/>
        <v>-400</v>
      </c>
      <c r="D23" s="1">
        <f t="shared" si="0"/>
        <v>-400</v>
      </c>
    </row>
    <row r="24" spans="1:4" x14ac:dyDescent="0.2">
      <c r="A24" s="85">
        <v>8</v>
      </c>
      <c r="B24" s="1">
        <f t="shared" si="1"/>
        <v>-400</v>
      </c>
      <c r="D24" s="1">
        <f t="shared" si="0"/>
        <v>-400</v>
      </c>
    </row>
    <row r="25" spans="1:4" x14ac:dyDescent="0.2">
      <c r="A25" s="85">
        <v>9</v>
      </c>
      <c r="B25" s="1">
        <f t="shared" si="1"/>
        <v>-400</v>
      </c>
      <c r="D25" s="1">
        <f t="shared" si="0"/>
        <v>-400</v>
      </c>
    </row>
    <row r="26" spans="1:4" x14ac:dyDescent="0.2">
      <c r="A26" s="85">
        <v>10</v>
      </c>
      <c r="B26" s="1">
        <f t="shared" si="1"/>
        <v>-400</v>
      </c>
      <c r="D26" s="1">
        <f t="shared" si="0"/>
        <v>-400</v>
      </c>
    </row>
    <row r="27" spans="1:4" x14ac:dyDescent="0.2">
      <c r="A27" s="85">
        <v>11</v>
      </c>
      <c r="B27" s="1">
        <f t="shared" si="1"/>
        <v>-400</v>
      </c>
      <c r="D27" s="1">
        <f t="shared" si="0"/>
        <v>-400</v>
      </c>
    </row>
    <row r="28" spans="1:4" x14ac:dyDescent="0.2">
      <c r="A28" s="85">
        <v>12</v>
      </c>
      <c r="B28" s="1">
        <f t="shared" si="1"/>
        <v>-400</v>
      </c>
      <c r="D28" s="1">
        <f t="shared" si="0"/>
        <v>-400</v>
      </c>
    </row>
    <row r="29" spans="1:4" x14ac:dyDescent="0.2">
      <c r="A29" s="85">
        <v>13</v>
      </c>
      <c r="B29" s="1">
        <f t="shared" si="1"/>
        <v>-400</v>
      </c>
      <c r="D29" s="1">
        <f t="shared" si="0"/>
        <v>-400</v>
      </c>
    </row>
    <row r="30" spans="1:4" x14ac:dyDescent="0.2">
      <c r="A30" s="85">
        <v>14</v>
      </c>
      <c r="B30" s="1">
        <f t="shared" si="1"/>
        <v>-400</v>
      </c>
      <c r="D30" s="1">
        <f t="shared" si="0"/>
        <v>-400</v>
      </c>
    </row>
    <row r="31" spans="1:4" x14ac:dyDescent="0.2">
      <c r="A31" s="85">
        <v>15</v>
      </c>
      <c r="B31" s="1">
        <f t="shared" si="1"/>
        <v>-400</v>
      </c>
      <c r="D31" s="1">
        <f t="shared" si="0"/>
        <v>-400</v>
      </c>
    </row>
    <row r="32" spans="1:4" x14ac:dyDescent="0.2">
      <c r="A32" s="85">
        <v>16</v>
      </c>
      <c r="B32" s="1">
        <f t="shared" si="1"/>
        <v>-400</v>
      </c>
      <c r="D32" s="1">
        <f t="shared" si="0"/>
        <v>-400</v>
      </c>
    </row>
    <row r="33" spans="1:4" x14ac:dyDescent="0.2">
      <c r="A33" s="85">
        <v>17</v>
      </c>
      <c r="B33" s="1">
        <f t="shared" si="1"/>
        <v>-400</v>
      </c>
      <c r="D33" s="1">
        <f t="shared" si="0"/>
        <v>-400</v>
      </c>
    </row>
    <row r="34" spans="1:4" x14ac:dyDescent="0.2">
      <c r="A34" s="85">
        <v>18</v>
      </c>
      <c r="B34" s="1">
        <f t="shared" si="1"/>
        <v>-400</v>
      </c>
      <c r="D34" s="1">
        <f t="shared" si="0"/>
        <v>-400</v>
      </c>
    </row>
    <row r="35" spans="1:4" x14ac:dyDescent="0.2">
      <c r="A35" s="85">
        <v>19</v>
      </c>
      <c r="B35" s="1">
        <f t="shared" si="1"/>
        <v>-400</v>
      </c>
      <c r="D35" s="1">
        <f t="shared" si="0"/>
        <v>-400</v>
      </c>
    </row>
    <row r="36" spans="1:4" x14ac:dyDescent="0.2">
      <c r="A36" s="85">
        <v>20</v>
      </c>
      <c r="B36" s="1">
        <f t="shared" si="1"/>
        <v>-400</v>
      </c>
      <c r="D36" s="1">
        <f t="shared" si="0"/>
        <v>-400</v>
      </c>
    </row>
    <row r="37" spans="1:4" x14ac:dyDescent="0.2">
      <c r="A37" s="85">
        <v>21</v>
      </c>
      <c r="B37" s="1">
        <f t="shared" si="1"/>
        <v>-400</v>
      </c>
      <c r="D37" s="1">
        <f t="shared" si="0"/>
        <v>-400</v>
      </c>
    </row>
    <row r="38" spans="1:4" x14ac:dyDescent="0.2">
      <c r="A38" s="85">
        <v>22</v>
      </c>
      <c r="B38" s="1">
        <f t="shared" si="1"/>
        <v>-400</v>
      </c>
      <c r="D38" s="1">
        <f t="shared" si="0"/>
        <v>-400</v>
      </c>
    </row>
    <row r="39" spans="1:4" x14ac:dyDescent="0.2">
      <c r="A39" s="85">
        <v>23</v>
      </c>
      <c r="B39" s="1">
        <f t="shared" si="1"/>
        <v>-400</v>
      </c>
      <c r="D39" s="1">
        <f t="shared" si="0"/>
        <v>-400</v>
      </c>
    </row>
    <row r="40" spans="1:4" x14ac:dyDescent="0.2">
      <c r="A40" s="85">
        <v>24</v>
      </c>
      <c r="B40" s="1">
        <f>-$B$4-B7</f>
        <v>-400</v>
      </c>
      <c r="C40" s="1">
        <f>B6</f>
        <v>10067.739523599188</v>
      </c>
      <c r="D40" s="1">
        <f t="shared" si="0"/>
        <v>-10467.739523599188</v>
      </c>
    </row>
    <row r="43" spans="1:4" x14ac:dyDescent="0.2">
      <c r="A43" s="105" t="s">
        <v>164</v>
      </c>
      <c r="B43" s="105"/>
      <c r="C43" s="105"/>
    </row>
    <row r="45" spans="1:4" ht="25.5" x14ac:dyDescent="0.2">
      <c r="A45" s="16" t="s">
        <v>165</v>
      </c>
      <c r="B45" s="16" t="s">
        <v>166</v>
      </c>
      <c r="C45" s="16" t="s">
        <v>167</v>
      </c>
    </row>
    <row r="46" spans="1:4" x14ac:dyDescent="0.2">
      <c r="A46" s="92"/>
      <c r="B46" s="92">
        <f>B11</f>
        <v>5.9999961010468672E-2</v>
      </c>
      <c r="C46" s="92" t="str">
        <f>B13</f>
        <v>Lease</v>
      </c>
      <c r="D46" s="90" t="s">
        <v>168</v>
      </c>
    </row>
    <row r="47" spans="1:4" x14ac:dyDescent="0.2">
      <c r="A47" s="25">
        <v>0</v>
      </c>
      <c r="B47" s="93">
        <f t="dataTable" ref="B47:C67" dt2D="0" dtr="0" r1="B6"/>
        <v>5.7643990186261762E-2</v>
      </c>
      <c r="C47" s="85" t="str">
        <v>Lease</v>
      </c>
    </row>
    <row r="48" spans="1:4" x14ac:dyDescent="0.2">
      <c r="A48" s="25">
        <v>1000</v>
      </c>
      <c r="B48" s="93">
        <v>5.7643990186261762E-2</v>
      </c>
      <c r="C48" s="85" t="str">
        <v>Lease</v>
      </c>
    </row>
    <row r="49" spans="1:3" x14ac:dyDescent="0.2">
      <c r="A49" s="25">
        <v>2000</v>
      </c>
      <c r="B49" s="93">
        <v>5.7643990186261762E-2</v>
      </c>
      <c r="C49" s="85" t="str">
        <v>Lease</v>
      </c>
    </row>
    <row r="50" spans="1:3" x14ac:dyDescent="0.2">
      <c r="A50" s="25">
        <v>3000</v>
      </c>
      <c r="B50" s="93">
        <v>5.7643990186261762E-2</v>
      </c>
      <c r="C50" s="85" t="str">
        <v>Lease</v>
      </c>
    </row>
    <row r="51" spans="1:3" x14ac:dyDescent="0.2">
      <c r="A51" s="25">
        <v>4000</v>
      </c>
      <c r="B51" s="93">
        <v>5.7643990186261762E-2</v>
      </c>
      <c r="C51" s="85" t="str">
        <v>Lease</v>
      </c>
    </row>
    <row r="52" spans="1:3" x14ac:dyDescent="0.2">
      <c r="A52" s="25">
        <v>5000</v>
      </c>
      <c r="B52" s="93">
        <v>5.7643990186261762E-2</v>
      </c>
      <c r="C52" s="85" t="str">
        <v>Lease</v>
      </c>
    </row>
    <row r="53" spans="1:3" x14ac:dyDescent="0.2">
      <c r="A53" s="25">
        <v>6000</v>
      </c>
      <c r="B53" s="93">
        <v>5.7643990186261762E-2</v>
      </c>
      <c r="C53" s="85" t="str">
        <v>Lease</v>
      </c>
    </row>
    <row r="54" spans="1:3" x14ac:dyDescent="0.2">
      <c r="A54" s="25">
        <v>7000</v>
      </c>
      <c r="B54" s="93">
        <v>5.7643990186261762E-2</v>
      </c>
      <c r="C54" s="85" t="str">
        <v>Lease</v>
      </c>
    </row>
    <row r="55" spans="1:3" x14ac:dyDescent="0.2">
      <c r="A55" s="25">
        <v>8000</v>
      </c>
      <c r="B55" s="93">
        <v>5.7643990186261762E-2</v>
      </c>
      <c r="C55" s="85" t="str">
        <v>Lease</v>
      </c>
    </row>
    <row r="56" spans="1:3" x14ac:dyDescent="0.2">
      <c r="A56" s="25">
        <v>9000</v>
      </c>
      <c r="B56" s="93">
        <v>5.7643990186261762E-2</v>
      </c>
      <c r="C56" s="85" t="str">
        <v>Lease</v>
      </c>
    </row>
    <row r="57" spans="1:3" x14ac:dyDescent="0.2">
      <c r="A57" s="25">
        <v>10000</v>
      </c>
      <c r="B57" s="93">
        <v>5.7643990186261762E-2</v>
      </c>
      <c r="C57" s="85" t="str">
        <v>Lease</v>
      </c>
    </row>
    <row r="58" spans="1:3" x14ac:dyDescent="0.2">
      <c r="A58" s="25">
        <v>10067.740782968556</v>
      </c>
      <c r="B58" s="93">
        <v>6.0000004751669556E-2</v>
      </c>
      <c r="C58" s="85" t="str">
        <v>Purchase</v>
      </c>
    </row>
    <row r="59" spans="1:3" x14ac:dyDescent="0.2">
      <c r="A59" s="25">
        <v>11000</v>
      </c>
      <c r="B59" s="93">
        <v>9.1797024746395062E-2</v>
      </c>
      <c r="C59" s="85" t="str">
        <v>Purchase</v>
      </c>
    </row>
    <row r="60" spans="1:3" x14ac:dyDescent="0.2">
      <c r="A60" s="25">
        <v>12000</v>
      </c>
      <c r="B60" s="93">
        <v>0.12469946821362021</v>
      </c>
      <c r="C60" s="85" t="str">
        <v>Purchase</v>
      </c>
    </row>
    <row r="61" spans="1:3" x14ac:dyDescent="0.2">
      <c r="A61" s="25">
        <v>13000</v>
      </c>
      <c r="B61" s="93">
        <v>0.15647928896909358</v>
      </c>
      <c r="C61" s="85" t="str">
        <v>Purchase</v>
      </c>
    </row>
    <row r="62" spans="1:3" x14ac:dyDescent="0.2">
      <c r="A62" s="25">
        <v>14000</v>
      </c>
      <c r="B62" s="93">
        <v>0.18724399372885592</v>
      </c>
      <c r="C62" s="85" t="str">
        <v>Purchase</v>
      </c>
    </row>
    <row r="63" spans="1:3" x14ac:dyDescent="0.2">
      <c r="A63" s="25">
        <v>15000</v>
      </c>
      <c r="B63" s="93">
        <v>0.21708493777771065</v>
      </c>
      <c r="C63" s="85" t="str">
        <v>Purchase</v>
      </c>
    </row>
    <row r="64" spans="1:3" x14ac:dyDescent="0.2">
      <c r="A64" s="25">
        <v>16000</v>
      </c>
      <c r="B64" s="93">
        <v>0.24608053311750377</v>
      </c>
      <c r="C64" s="85" t="str">
        <v>Purchase</v>
      </c>
    </row>
    <row r="65" spans="1:3" x14ac:dyDescent="0.2">
      <c r="A65" s="25">
        <v>17000</v>
      </c>
      <c r="B65" s="93">
        <v>0.27429868062959728</v>
      </c>
      <c r="C65" s="85" t="str">
        <v>Purchase</v>
      </c>
    </row>
    <row r="66" spans="1:3" x14ac:dyDescent="0.2">
      <c r="A66" s="25">
        <v>18000</v>
      </c>
      <c r="B66" s="93">
        <v>0.30179864413247803</v>
      </c>
      <c r="C66" s="85" t="str">
        <v>Purchase</v>
      </c>
    </row>
    <row r="67" spans="1:3" x14ac:dyDescent="0.2">
      <c r="A67" s="25">
        <v>19000</v>
      </c>
      <c r="B67" s="93">
        <v>0.32863251536650018</v>
      </c>
      <c r="C67" s="85" t="str">
        <v>Purchase</v>
      </c>
    </row>
  </sheetData>
  <mergeCells count="5">
    <mergeCell ref="A9:C9"/>
    <mergeCell ref="A43:C43"/>
    <mergeCell ref="A1:J1"/>
    <mergeCell ref="F4:J7"/>
    <mergeCell ref="F10:J12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D21"/>
  <sheetViews>
    <sheetView workbookViewId="0">
      <selection sqref="A1:D1"/>
    </sheetView>
  </sheetViews>
  <sheetFormatPr defaultRowHeight="12.75" x14ac:dyDescent="0.2"/>
  <cols>
    <col min="1" max="1" width="31.7109375" customWidth="1"/>
    <col min="2" max="2" width="13.85546875" customWidth="1"/>
    <col min="3" max="3" width="10.7109375" customWidth="1"/>
    <col min="4" max="4" width="10.85546875" customWidth="1"/>
  </cols>
  <sheetData>
    <row r="1" spans="1:4" ht="36.75" customHeight="1" x14ac:dyDescent="0.25">
      <c r="A1" s="100" t="s">
        <v>70</v>
      </c>
      <c r="B1" s="100"/>
      <c r="C1" s="100"/>
      <c r="D1" s="100"/>
    </row>
    <row r="2" spans="1:4" x14ac:dyDescent="0.2">
      <c r="A2" t="s">
        <v>7</v>
      </c>
      <c r="B2" s="2">
        <v>0.18</v>
      </c>
    </row>
    <row r="3" spans="1:4" x14ac:dyDescent="0.2">
      <c r="A3" t="s">
        <v>8</v>
      </c>
      <c r="B3" s="11">
        <f>B2/12</f>
        <v>1.4999999999999999E-2</v>
      </c>
      <c r="C3" t="e">
        <f ca="1">getformula(B3)</f>
        <v>#NAME?</v>
      </c>
    </row>
    <row r="5" spans="1:4" s="6" customFormat="1" ht="38.25" x14ac:dyDescent="0.2">
      <c r="A5" s="6" t="s">
        <v>3</v>
      </c>
      <c r="B5" s="16" t="s">
        <v>115</v>
      </c>
      <c r="C5" s="16" t="s">
        <v>9</v>
      </c>
      <c r="D5" s="16" t="s">
        <v>10</v>
      </c>
    </row>
    <row r="6" spans="1:4" x14ac:dyDescent="0.2">
      <c r="A6" s="5">
        <v>1</v>
      </c>
      <c r="B6" s="47">
        <v>100</v>
      </c>
      <c r="C6" s="47">
        <f>B6*$B$3</f>
        <v>1.5</v>
      </c>
      <c r="D6" s="47">
        <f>B6+C6</f>
        <v>101.5</v>
      </c>
    </row>
    <row r="7" spans="1:4" x14ac:dyDescent="0.2">
      <c r="A7" s="5">
        <v>2</v>
      </c>
      <c r="B7" s="47">
        <f>D6</f>
        <v>101.5</v>
      </c>
      <c r="C7" s="47">
        <f>B7*$B$3</f>
        <v>1.5225</v>
      </c>
      <c r="D7" s="47">
        <f>B7+C7</f>
        <v>103.02249999999999</v>
      </c>
    </row>
    <row r="8" spans="1:4" x14ac:dyDescent="0.2">
      <c r="A8" s="5">
        <v>3</v>
      </c>
      <c r="B8" s="47">
        <f t="shared" ref="B8:B17" si="0">D7</f>
        <v>103.02249999999999</v>
      </c>
      <c r="C8" s="47">
        <f t="shared" ref="C8:C17" si="1">B8*$B$3</f>
        <v>1.5453374999999998</v>
      </c>
      <c r="D8" s="47">
        <f t="shared" ref="D8:D17" si="2">B8+C8</f>
        <v>104.5678375</v>
      </c>
    </row>
    <row r="9" spans="1:4" x14ac:dyDescent="0.2">
      <c r="A9" s="5">
        <v>4</v>
      </c>
      <c r="B9" s="47">
        <f t="shared" si="0"/>
        <v>104.5678375</v>
      </c>
      <c r="C9" s="47">
        <f t="shared" si="1"/>
        <v>1.5685175624999999</v>
      </c>
      <c r="D9" s="47">
        <f t="shared" si="2"/>
        <v>106.1363550625</v>
      </c>
    </row>
    <row r="10" spans="1:4" x14ac:dyDescent="0.2">
      <c r="A10" s="5">
        <v>5</v>
      </c>
      <c r="B10" s="47">
        <f t="shared" si="0"/>
        <v>106.1363550625</v>
      </c>
      <c r="C10" s="47">
        <f t="shared" si="1"/>
        <v>1.5920453259375</v>
      </c>
      <c r="D10" s="47">
        <f t="shared" si="2"/>
        <v>107.72840038843751</v>
      </c>
    </row>
    <row r="11" spans="1:4" x14ac:dyDescent="0.2">
      <c r="A11" s="5">
        <v>6</v>
      </c>
      <c r="B11" s="47">
        <f t="shared" si="0"/>
        <v>107.72840038843751</v>
      </c>
      <c r="C11" s="47">
        <f t="shared" si="1"/>
        <v>1.6159260058265625</v>
      </c>
      <c r="D11" s="47">
        <f t="shared" si="2"/>
        <v>109.34432639426407</v>
      </c>
    </row>
    <row r="12" spans="1:4" x14ac:dyDescent="0.2">
      <c r="A12" s="5">
        <v>7</v>
      </c>
      <c r="B12" s="47">
        <f t="shared" si="0"/>
        <v>109.34432639426407</v>
      </c>
      <c r="C12" s="47">
        <f t="shared" si="1"/>
        <v>1.640164895913961</v>
      </c>
      <c r="D12" s="47">
        <f t="shared" si="2"/>
        <v>110.98449129017803</v>
      </c>
    </row>
    <row r="13" spans="1:4" x14ac:dyDescent="0.2">
      <c r="A13" s="5">
        <v>8</v>
      </c>
      <c r="B13" s="47">
        <f t="shared" si="0"/>
        <v>110.98449129017803</v>
      </c>
      <c r="C13" s="47">
        <f t="shared" si="1"/>
        <v>1.6647673693526703</v>
      </c>
      <c r="D13" s="47">
        <f t="shared" si="2"/>
        <v>112.6492586595307</v>
      </c>
    </row>
    <row r="14" spans="1:4" x14ac:dyDescent="0.2">
      <c r="A14" s="5">
        <v>9</v>
      </c>
      <c r="B14" s="47">
        <f t="shared" si="0"/>
        <v>112.6492586595307</v>
      </c>
      <c r="C14" s="47">
        <f t="shared" si="1"/>
        <v>1.6897388798929605</v>
      </c>
      <c r="D14" s="47">
        <f t="shared" si="2"/>
        <v>114.33899753942366</v>
      </c>
    </row>
    <row r="15" spans="1:4" x14ac:dyDescent="0.2">
      <c r="A15" s="5">
        <v>10</v>
      </c>
      <c r="B15" s="47">
        <f t="shared" si="0"/>
        <v>114.33899753942366</v>
      </c>
      <c r="C15" s="47">
        <f t="shared" si="1"/>
        <v>1.7150849630913547</v>
      </c>
      <c r="D15" s="47">
        <f t="shared" si="2"/>
        <v>116.05408250251502</v>
      </c>
    </row>
    <row r="16" spans="1:4" x14ac:dyDescent="0.2">
      <c r="A16" s="5">
        <v>11</v>
      </c>
      <c r="B16" s="47">
        <f t="shared" si="0"/>
        <v>116.05408250251502</v>
      </c>
      <c r="C16" s="47">
        <f t="shared" si="1"/>
        <v>1.7408112375377252</v>
      </c>
      <c r="D16" s="47">
        <f t="shared" si="2"/>
        <v>117.79489374005274</v>
      </c>
    </row>
    <row r="17" spans="1:4" x14ac:dyDescent="0.2">
      <c r="A17" s="5">
        <v>12</v>
      </c>
      <c r="B17" s="47">
        <f t="shared" si="0"/>
        <v>117.79489374005274</v>
      </c>
      <c r="C17" s="47">
        <f t="shared" si="1"/>
        <v>1.766923406100791</v>
      </c>
      <c r="D17" s="47">
        <f t="shared" si="2"/>
        <v>119.56181714615353</v>
      </c>
    </row>
    <row r="19" spans="1:4" x14ac:dyDescent="0.2">
      <c r="A19" s="31" t="s">
        <v>69</v>
      </c>
      <c r="B19" s="32">
        <f>D17/B6-1</f>
        <v>0.19561817146153526</v>
      </c>
      <c r="C19" s="15" t="e">
        <f ca="1">"&lt;-- "&amp;_xlfn.FORMULATEXT(B19)</f>
        <v>#NAME?</v>
      </c>
    </row>
    <row r="20" spans="1:4" x14ac:dyDescent="0.2">
      <c r="A20" s="59"/>
      <c r="B20" s="32">
        <f>(1+B3)^12-1</f>
        <v>0.19561817146153326</v>
      </c>
      <c r="C20" s="15" t="e">
        <f ca="1">"&lt;-- "&amp;_xlfn.FORMULATEXT(B20)</f>
        <v>#NAME?</v>
      </c>
    </row>
    <row r="21" spans="1:4" x14ac:dyDescent="0.2">
      <c r="B21" s="2"/>
    </row>
  </sheetData>
  <mergeCells count="1">
    <mergeCell ref="A1:D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0"/>
  <sheetViews>
    <sheetView workbookViewId="0">
      <selection sqref="A1:E1"/>
    </sheetView>
  </sheetViews>
  <sheetFormatPr defaultRowHeight="12.75" x14ac:dyDescent="0.2"/>
  <cols>
    <col min="1" max="1" width="22.28515625" customWidth="1"/>
    <col min="2" max="2" width="11.28515625" customWidth="1"/>
    <col min="3" max="3" width="12" customWidth="1"/>
    <col min="4" max="4" width="15.28515625" bestFit="1" customWidth="1"/>
  </cols>
  <sheetData>
    <row r="1" spans="1:5" ht="18" x14ac:dyDescent="0.25">
      <c r="A1" s="97" t="s">
        <v>45</v>
      </c>
      <c r="B1" s="97"/>
      <c r="C1" s="97"/>
      <c r="D1" s="97"/>
      <c r="E1" s="97"/>
    </row>
    <row r="2" spans="1:5" x14ac:dyDescent="0.2">
      <c r="A2" t="s">
        <v>7</v>
      </c>
      <c r="B2" s="2">
        <v>0.18</v>
      </c>
    </row>
    <row r="3" spans="1:5" x14ac:dyDescent="0.2">
      <c r="B3" s="11"/>
    </row>
    <row r="4" spans="1:5" ht="28.9" customHeight="1" x14ac:dyDescent="0.2">
      <c r="A4" s="16" t="s">
        <v>46</v>
      </c>
      <c r="B4" s="16" t="s">
        <v>47</v>
      </c>
      <c r="C4" s="6" t="s">
        <v>11</v>
      </c>
    </row>
    <row r="5" spans="1:5" x14ac:dyDescent="0.2">
      <c r="A5" s="5">
        <v>1</v>
      </c>
      <c r="B5" s="48">
        <f>$B$2/A5</f>
        <v>0.18</v>
      </c>
      <c r="C5" s="49">
        <f>(1+B5)^A5-1</f>
        <v>0.17999999999999994</v>
      </c>
      <c r="D5" t="e">
        <f ca="1">"&lt;-- "&amp;_xlfn.FORMULATEXT(C5)</f>
        <v>#NAME?</v>
      </c>
    </row>
    <row r="6" spans="1:5" x14ac:dyDescent="0.2">
      <c r="A6" s="5">
        <v>2</v>
      </c>
      <c r="B6" s="48">
        <f t="shared" ref="B6:B19" si="0">$B$2/A6</f>
        <v>0.09</v>
      </c>
      <c r="C6" s="49">
        <f t="shared" ref="C6:C19" si="1">(1+B6)^A6-1</f>
        <v>0.18810000000000016</v>
      </c>
      <c r="D6" t="e">
        <f ca="1">"&lt;-- "&amp;_xlfn.FORMULATEXT(C6)</f>
        <v>#NAME?</v>
      </c>
    </row>
    <row r="7" spans="1:5" x14ac:dyDescent="0.2">
      <c r="A7" s="5">
        <v>3</v>
      </c>
      <c r="B7" s="48">
        <f t="shared" si="0"/>
        <v>0.06</v>
      </c>
      <c r="C7" s="49">
        <f t="shared" si="1"/>
        <v>0.1910160000000003</v>
      </c>
      <c r="D7" t="e">
        <f ca="1">"&lt;-- "&amp;_xlfn.FORMULATEXT(C7)</f>
        <v>#NAME?</v>
      </c>
    </row>
    <row r="8" spans="1:5" x14ac:dyDescent="0.2">
      <c r="A8" s="5">
        <v>4</v>
      </c>
      <c r="B8" s="48">
        <f t="shared" si="0"/>
        <v>4.4999999999999998E-2</v>
      </c>
      <c r="C8" s="49">
        <f t="shared" si="1"/>
        <v>0.19251860062499948</v>
      </c>
    </row>
    <row r="9" spans="1:5" x14ac:dyDescent="0.2">
      <c r="A9" s="5">
        <v>6</v>
      </c>
      <c r="B9" s="48">
        <f t="shared" si="0"/>
        <v>0.03</v>
      </c>
      <c r="C9" s="49">
        <f t="shared" si="1"/>
        <v>0.19405229652899991</v>
      </c>
    </row>
    <row r="10" spans="1:5" x14ac:dyDescent="0.2">
      <c r="A10" s="5">
        <v>12</v>
      </c>
      <c r="B10" s="48">
        <f t="shared" si="0"/>
        <v>1.4999999999999999E-2</v>
      </c>
      <c r="C10" s="49">
        <f t="shared" si="1"/>
        <v>0.19561817146153326</v>
      </c>
    </row>
    <row r="11" spans="1:5" x14ac:dyDescent="0.2">
      <c r="A11" s="5">
        <v>24</v>
      </c>
      <c r="B11" s="48">
        <f t="shared" si="0"/>
        <v>7.4999999999999997E-3</v>
      </c>
      <c r="C11" s="49">
        <f t="shared" si="1"/>
        <v>0.1964135293926228</v>
      </c>
    </row>
    <row r="12" spans="1:5" x14ac:dyDescent="0.2">
      <c r="A12" s="5">
        <v>36</v>
      </c>
      <c r="B12" s="48">
        <f t="shared" si="0"/>
        <v>5.0000000000000001E-3</v>
      </c>
      <c r="C12" s="49">
        <f t="shared" si="1"/>
        <v>0.19668052482341269</v>
      </c>
    </row>
    <row r="13" spans="1:5" x14ac:dyDescent="0.2">
      <c r="A13" s="5">
        <v>52</v>
      </c>
      <c r="B13" s="48">
        <f t="shared" si="0"/>
        <v>3.4615384615384612E-3</v>
      </c>
      <c r="C13" s="49">
        <f t="shared" si="1"/>
        <v>0.19684530018489221</v>
      </c>
    </row>
    <row r="14" spans="1:5" x14ac:dyDescent="0.2">
      <c r="A14" s="5">
        <v>100</v>
      </c>
      <c r="B14" s="48">
        <f t="shared" si="0"/>
        <v>1.8E-3</v>
      </c>
      <c r="C14" s="49">
        <f t="shared" si="1"/>
        <v>0.19702366200571197</v>
      </c>
    </row>
    <row r="15" spans="1:5" x14ac:dyDescent="0.2">
      <c r="A15" s="5">
        <v>150</v>
      </c>
      <c r="B15" s="48">
        <f t="shared" si="0"/>
        <v>1.1999999999999999E-3</v>
      </c>
      <c r="C15" s="49">
        <f t="shared" si="1"/>
        <v>0.19708817396393852</v>
      </c>
    </row>
    <row r="16" spans="1:5" x14ac:dyDescent="0.2">
      <c r="A16" s="5">
        <v>200</v>
      </c>
      <c r="B16" s="48">
        <f t="shared" si="0"/>
        <v>8.9999999999999998E-4</v>
      </c>
      <c r="C16" s="49">
        <f t="shared" si="1"/>
        <v>0.19712045058354266</v>
      </c>
    </row>
    <row r="17" spans="1:4" x14ac:dyDescent="0.2">
      <c r="A17" s="5">
        <v>250</v>
      </c>
      <c r="B17" s="48">
        <f t="shared" si="0"/>
        <v>7.1999999999999994E-4</v>
      </c>
      <c r="C17" s="49">
        <f t="shared" si="1"/>
        <v>0.1971398231659709</v>
      </c>
    </row>
    <row r="18" spans="1:4" x14ac:dyDescent="0.2">
      <c r="A18" s="5">
        <v>300</v>
      </c>
      <c r="B18" s="48">
        <f t="shared" si="0"/>
        <v>5.9999999999999995E-4</v>
      </c>
      <c r="C18" s="49">
        <f t="shared" si="1"/>
        <v>0.19715274097656366</v>
      </c>
    </row>
    <row r="19" spans="1:4" x14ac:dyDescent="0.2">
      <c r="A19" s="5">
        <v>365</v>
      </c>
      <c r="B19" s="48">
        <f t="shared" si="0"/>
        <v>4.9315068493150684E-4</v>
      </c>
      <c r="C19" s="49">
        <f t="shared" si="1"/>
        <v>0.19716424499274088</v>
      </c>
    </row>
    <row r="20" spans="1:4" x14ac:dyDescent="0.2">
      <c r="A20" s="5" t="s">
        <v>71</v>
      </c>
      <c r="C20" s="49">
        <f>EXP(B2)-1</f>
        <v>0.19721736312181015</v>
      </c>
      <c r="D20" t="e">
        <f ca="1">"&lt;-- "&amp;_xlfn.FORMULATEXT(C20)</f>
        <v>#NAME?</v>
      </c>
    </row>
  </sheetData>
  <mergeCells count="1">
    <mergeCell ref="A1:E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C10"/>
  <sheetViews>
    <sheetView workbookViewId="0">
      <selection sqref="A1:C1"/>
    </sheetView>
  </sheetViews>
  <sheetFormatPr defaultRowHeight="12.75" x14ac:dyDescent="0.2"/>
  <cols>
    <col min="1" max="1" width="35.28515625" customWidth="1"/>
    <col min="2" max="2" width="11" customWidth="1"/>
    <col min="3" max="3" width="20.85546875" bestFit="1" customWidth="1"/>
  </cols>
  <sheetData>
    <row r="1" spans="1:3" ht="18" x14ac:dyDescent="0.25">
      <c r="A1" s="97" t="s">
        <v>49</v>
      </c>
      <c r="B1" s="97"/>
      <c r="C1" s="97"/>
    </row>
    <row r="2" spans="1:3" x14ac:dyDescent="0.2">
      <c r="A2" t="s">
        <v>7</v>
      </c>
      <c r="B2" s="2">
        <v>0.18</v>
      </c>
    </row>
    <row r="3" spans="1:3" ht="25.5" x14ac:dyDescent="0.2">
      <c r="A3" s="20" t="s">
        <v>48</v>
      </c>
      <c r="B3" s="35">
        <v>250</v>
      </c>
      <c r="C3" s="27"/>
    </row>
    <row r="4" spans="1:3" x14ac:dyDescent="0.2">
      <c r="A4" s="72" t="s">
        <v>131</v>
      </c>
      <c r="B4" s="35">
        <v>3</v>
      </c>
      <c r="C4" s="27"/>
    </row>
    <row r="5" spans="1:3" x14ac:dyDescent="0.2">
      <c r="A5" s="72" t="s">
        <v>111</v>
      </c>
      <c r="B5" s="35"/>
      <c r="C5" s="27"/>
    </row>
    <row r="6" spans="1:3" x14ac:dyDescent="0.2">
      <c r="B6" s="32">
        <f>(1+B2/B3)^B3-1</f>
        <v>0.1971398231659709</v>
      </c>
    </row>
    <row r="7" spans="1:3" ht="30.75" x14ac:dyDescent="0.2">
      <c r="A7" s="72" t="s">
        <v>132</v>
      </c>
      <c r="B7" s="36">
        <f>(1+B2/B3)^(B3*B4)</f>
        <v>1.7156734628804784</v>
      </c>
      <c r="C7" t="e">
        <f ca="1">"&lt;-- "&amp;_xlfn.FORMULATEXT(B7)</f>
        <v>#NAME?</v>
      </c>
    </row>
    <row r="8" spans="1:3" ht="30.75" x14ac:dyDescent="0.2">
      <c r="A8" s="77" t="s">
        <v>133</v>
      </c>
      <c r="B8" s="37">
        <f>EXP(B2*B4)</f>
        <v>1.7160068621848585</v>
      </c>
      <c r="C8" t="e">
        <f ca="1">"&lt;-- "&amp;_xlfn.FORMULATEXT(B8)</f>
        <v>#NAME?</v>
      </c>
    </row>
    <row r="10" spans="1:3" x14ac:dyDescent="0.2">
      <c r="B10" s="22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0"/>
  <sheetViews>
    <sheetView workbookViewId="0">
      <selection activeCell="H17" sqref="H17"/>
    </sheetView>
  </sheetViews>
  <sheetFormatPr defaultRowHeight="12.75" x14ac:dyDescent="0.2"/>
  <sheetData>
    <row r="1" spans="1:8" ht="15" x14ac:dyDescent="0.25">
      <c r="A1" s="95" t="s">
        <v>193</v>
      </c>
      <c r="B1" s="95"/>
      <c r="C1" s="95"/>
      <c r="D1" s="95"/>
      <c r="E1" s="95"/>
      <c r="F1" s="95"/>
      <c r="G1" s="95"/>
      <c r="H1" s="95"/>
    </row>
    <row r="2" spans="1:8" ht="15" x14ac:dyDescent="0.25">
      <c r="A2" s="94"/>
      <c r="B2" s="94"/>
      <c r="C2" s="94"/>
      <c r="D2" s="94"/>
      <c r="E2" s="94"/>
      <c r="F2" s="94"/>
      <c r="G2" s="94"/>
      <c r="H2" s="94"/>
    </row>
    <row r="3" spans="1:8" x14ac:dyDescent="0.2">
      <c r="C3" s="104" t="s">
        <v>55</v>
      </c>
      <c r="D3" s="104"/>
      <c r="E3" s="104"/>
      <c r="F3" s="104"/>
      <c r="G3" s="104"/>
    </row>
    <row r="4" spans="1:8" x14ac:dyDescent="0.2">
      <c r="A4" t="s">
        <v>72</v>
      </c>
      <c r="B4" s="5">
        <v>0</v>
      </c>
      <c r="H4" s="5" t="s">
        <v>57</v>
      </c>
    </row>
    <row r="6" spans="1:8" x14ac:dyDescent="0.2">
      <c r="D6" s="109" t="s">
        <v>53</v>
      </c>
      <c r="E6" s="109"/>
    </row>
    <row r="7" spans="1:8" ht="14.25" x14ac:dyDescent="0.2">
      <c r="B7" s="5" t="s">
        <v>50</v>
      </c>
      <c r="H7" s="5" t="s">
        <v>51</v>
      </c>
    </row>
    <row r="8" spans="1:8" x14ac:dyDescent="0.2">
      <c r="B8" s="5"/>
      <c r="H8" s="5"/>
    </row>
    <row r="9" spans="1:8" x14ac:dyDescent="0.2">
      <c r="D9" s="109" t="s">
        <v>54</v>
      </c>
      <c r="E9" s="109"/>
    </row>
    <row r="10" spans="1:8" ht="14.25" x14ac:dyDescent="0.2">
      <c r="B10" s="82" t="s">
        <v>143</v>
      </c>
      <c r="H10" s="5" t="s">
        <v>52</v>
      </c>
    </row>
    <row r="13" spans="1:8" x14ac:dyDescent="0.2">
      <c r="C13" s="104" t="s">
        <v>49</v>
      </c>
      <c r="D13" s="104"/>
      <c r="E13" s="104"/>
      <c r="F13" s="104"/>
      <c r="G13" s="104"/>
    </row>
    <row r="14" spans="1:8" x14ac:dyDescent="0.2">
      <c r="A14" t="s">
        <v>72</v>
      </c>
      <c r="B14" s="5">
        <v>0</v>
      </c>
      <c r="H14" s="5" t="s">
        <v>57</v>
      </c>
    </row>
    <row r="16" spans="1:8" x14ac:dyDescent="0.2">
      <c r="D16" s="109" t="s">
        <v>53</v>
      </c>
      <c r="E16" s="109"/>
    </row>
    <row r="17" spans="2:8" ht="14.25" x14ac:dyDescent="0.2">
      <c r="B17" s="5" t="s">
        <v>50</v>
      </c>
      <c r="H17" s="5" t="s">
        <v>56</v>
      </c>
    </row>
    <row r="18" spans="2:8" x14ac:dyDescent="0.2">
      <c r="B18" s="5"/>
      <c r="H18" s="5"/>
    </row>
    <row r="19" spans="2:8" x14ac:dyDescent="0.2">
      <c r="D19" s="109" t="s">
        <v>54</v>
      </c>
      <c r="E19" s="109"/>
    </row>
    <row r="20" spans="2:8" ht="14.25" x14ac:dyDescent="0.2">
      <c r="B20" s="82" t="s">
        <v>144</v>
      </c>
      <c r="H20" s="5" t="s">
        <v>52</v>
      </c>
    </row>
  </sheetData>
  <mergeCells count="7">
    <mergeCell ref="A1:H1"/>
    <mergeCell ref="C3:G3"/>
    <mergeCell ref="C13:G13"/>
    <mergeCell ref="D16:E16"/>
    <mergeCell ref="D19:E19"/>
    <mergeCell ref="D6:E6"/>
    <mergeCell ref="D9:E9"/>
  </mergeCells>
  <phoneticPr fontId="0" type="noConversion"/>
  <pageMargins left="0.75" right="0.75" top="1" bottom="1" header="0.5" footer="0.5"/>
  <pageSetup orientation="portrait" r:id="rId1"/>
  <headerFooter alignWithMargins="0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C12"/>
  <sheetViews>
    <sheetView workbookViewId="0">
      <selection activeCell="G17" sqref="G17"/>
    </sheetView>
  </sheetViews>
  <sheetFormatPr defaultRowHeight="12.75" x14ac:dyDescent="0.2"/>
  <cols>
    <col min="1" max="1" width="40.28515625" customWidth="1"/>
    <col min="3" max="3" width="22" bestFit="1" customWidth="1"/>
  </cols>
  <sheetData>
    <row r="1" spans="1:3" ht="18" x14ac:dyDescent="0.25">
      <c r="A1" s="97" t="s">
        <v>104</v>
      </c>
      <c r="B1" s="97"/>
      <c r="C1" s="97"/>
    </row>
    <row r="2" spans="1:3" x14ac:dyDescent="0.2">
      <c r="A2" t="s">
        <v>19</v>
      </c>
      <c r="B2" s="2">
        <v>0.1</v>
      </c>
    </row>
    <row r="3" spans="1:3" x14ac:dyDescent="0.2">
      <c r="A3" t="s">
        <v>58</v>
      </c>
      <c r="B3">
        <v>100</v>
      </c>
    </row>
    <row r="4" spans="1:3" x14ac:dyDescent="0.2">
      <c r="A4" t="s">
        <v>59</v>
      </c>
      <c r="B4">
        <v>3</v>
      </c>
    </row>
    <row r="5" spans="1:3" ht="14.25" x14ac:dyDescent="0.2">
      <c r="A5" t="s">
        <v>60</v>
      </c>
      <c r="B5" s="38">
        <f>B3*(1+B2)^B4</f>
        <v>133.10000000000005</v>
      </c>
      <c r="C5" t="e">
        <f ca="1">"&lt;-- "&amp;_xlfn.FORMULATEXT(B5)</f>
        <v>#NAME?</v>
      </c>
    </row>
    <row r="6" spans="1:3" ht="14.25" x14ac:dyDescent="0.2">
      <c r="A6" t="s">
        <v>105</v>
      </c>
      <c r="B6" s="38">
        <f>B3*EXP(B2*B4)</f>
        <v>134.98588075760031</v>
      </c>
      <c r="C6" t="e">
        <f ca="1">"&lt;-- "&amp;_xlfn.FORMULATEXT(B6)</f>
        <v>#NAME?</v>
      </c>
    </row>
    <row r="8" spans="1:3" x14ac:dyDescent="0.2">
      <c r="A8" t="s">
        <v>19</v>
      </c>
      <c r="B8" s="2">
        <v>0.1</v>
      </c>
    </row>
    <row r="9" spans="1:3" x14ac:dyDescent="0.2">
      <c r="A9" t="s">
        <v>61</v>
      </c>
      <c r="B9">
        <v>100</v>
      </c>
    </row>
    <row r="10" spans="1:3" x14ac:dyDescent="0.2">
      <c r="A10" t="s">
        <v>59</v>
      </c>
      <c r="B10">
        <v>3</v>
      </c>
    </row>
    <row r="11" spans="1:3" ht="14.25" x14ac:dyDescent="0.2">
      <c r="A11" t="s">
        <v>62</v>
      </c>
      <c r="B11" s="38">
        <f>B9/(1+B8)^B10</f>
        <v>75.131480090157751</v>
      </c>
      <c r="C11" t="e">
        <f ca="1">"&lt;-- "&amp;_xlfn.FORMULATEXT(B11)</f>
        <v>#NAME?</v>
      </c>
    </row>
    <row r="12" spans="1:3" ht="14.25" x14ac:dyDescent="0.2">
      <c r="A12" t="s">
        <v>106</v>
      </c>
      <c r="B12" s="38">
        <f>B9*EXP(-B10*B8)</f>
        <v>74.081822068171789</v>
      </c>
      <c r="C12" t="e">
        <f ca="1">"&lt;-- "&amp;_xlfn.FORMULATEXT(B12)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E8"/>
  <sheetViews>
    <sheetView workbookViewId="0">
      <selection activeCell="G16" sqref="G16"/>
    </sheetView>
  </sheetViews>
  <sheetFormatPr defaultRowHeight="12.75" x14ac:dyDescent="0.2"/>
  <cols>
    <col min="1" max="1" width="30.28515625" customWidth="1"/>
    <col min="2" max="2" width="11" customWidth="1"/>
    <col min="3" max="3" width="16" bestFit="1" customWidth="1"/>
    <col min="5" max="5" width="22.5703125" bestFit="1" customWidth="1"/>
  </cols>
  <sheetData>
    <row r="1" spans="1:5" ht="18" x14ac:dyDescent="0.25">
      <c r="A1" s="97" t="s">
        <v>145</v>
      </c>
      <c r="B1" s="97"/>
      <c r="C1" s="97"/>
    </row>
    <row r="2" spans="1:5" x14ac:dyDescent="0.2">
      <c r="A2" t="s">
        <v>5</v>
      </c>
      <c r="B2" s="10">
        <v>0.1099</v>
      </c>
    </row>
    <row r="3" spans="1:5" x14ac:dyDescent="0.2">
      <c r="A3" t="s">
        <v>6</v>
      </c>
      <c r="B3" s="86">
        <f>B2/365</f>
        <v>3.0109589041095892E-4</v>
      </c>
      <c r="C3" t="e">
        <f ca="1">"&lt;-- "&amp;_xlfn.FORMULATEXT(B3)</f>
        <v>#NAME?</v>
      </c>
      <c r="E3" s="84">
        <f>B3-0.03011%</f>
        <v>-4.1095890410841086E-9</v>
      </c>
    </row>
    <row r="5" spans="1:5" x14ac:dyDescent="0.2">
      <c r="A5" t="s">
        <v>69</v>
      </c>
      <c r="B5" s="39">
        <f>(1+B3)^365-1</f>
        <v>0.11614798487334066</v>
      </c>
      <c r="C5" t="e">
        <f ca="1">"&lt;-- "&amp;_xlfn.FORMULATEXT(B5)</f>
        <v>#NAME?</v>
      </c>
    </row>
    <row r="6" spans="1:5" x14ac:dyDescent="0.2">
      <c r="A6" t="s">
        <v>31</v>
      </c>
      <c r="B6" s="39">
        <f>EXP(B2)-1</f>
        <v>0.1161664482330298</v>
      </c>
      <c r="C6" t="e">
        <f ca="1">"&lt;-- "&amp;_xlfn.FORMULATEXT(B6)</f>
        <v>#NAME?</v>
      </c>
    </row>
    <row r="8" spans="1:5" x14ac:dyDescent="0.2">
      <c r="B8" s="22"/>
    </row>
  </sheetData>
  <mergeCells count="1">
    <mergeCell ref="A1:C1"/>
  </mergeCells>
  <phoneticPr fontId="0" type="noConversion"/>
  <printOptions headings="1" gridLines="1"/>
  <pageMargins left="0.70866141732283505" right="0.70866141732283505" top="0.74803149606299202" bottom="0.74803149606299202" header="0.31496062992126" footer="0.31496062992126"/>
  <pageSetup orientation="portrait" cellComments="atEnd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C11"/>
  <sheetViews>
    <sheetView workbookViewId="0">
      <selection activeCell="C17" sqref="C17"/>
    </sheetView>
  </sheetViews>
  <sheetFormatPr defaultRowHeight="12.75" x14ac:dyDescent="0.2"/>
  <cols>
    <col min="1" max="1" width="34" bestFit="1" customWidth="1"/>
    <col min="3" max="3" width="19.7109375" bestFit="1" customWidth="1"/>
  </cols>
  <sheetData>
    <row r="1" spans="1:3" ht="15.75" x14ac:dyDescent="0.2">
      <c r="A1" s="110" t="s">
        <v>134</v>
      </c>
      <c r="B1" s="110"/>
      <c r="C1" s="110"/>
    </row>
    <row r="2" spans="1:3" x14ac:dyDescent="0.2">
      <c r="A2" s="78" t="s">
        <v>135</v>
      </c>
      <c r="B2">
        <v>100</v>
      </c>
    </row>
    <row r="3" spans="1:3" x14ac:dyDescent="0.2">
      <c r="A3" s="78" t="s">
        <v>136</v>
      </c>
      <c r="B3">
        <v>200</v>
      </c>
    </row>
    <row r="4" spans="1:3" x14ac:dyDescent="0.2">
      <c r="A4" s="78" t="s">
        <v>137</v>
      </c>
      <c r="B4">
        <v>4</v>
      </c>
    </row>
    <row r="6" spans="1:3" x14ac:dyDescent="0.2">
      <c r="A6" s="79" t="s">
        <v>138</v>
      </c>
      <c r="B6" s="80">
        <f>(B3/B2)^(1/B4)-1</f>
        <v>0.18920711500272103</v>
      </c>
      <c r="C6" t="e">
        <f ca="1">"&lt;-- "&amp;_xlfn.FORMULATEXT(B6)</f>
        <v>#NAME?</v>
      </c>
    </row>
    <row r="7" spans="1:3" x14ac:dyDescent="0.2">
      <c r="A7" s="79" t="s">
        <v>139</v>
      </c>
      <c r="B7" s="80">
        <f>(1/B4)*LN(B3/B2)</f>
        <v>0.17328679513998632</v>
      </c>
      <c r="C7" t="e">
        <f ca="1">"&lt;-- "&amp;_xlfn.FORMULATEXT(B7)</f>
        <v>#NAME?</v>
      </c>
    </row>
    <row r="9" spans="1:3" ht="27.75" customHeight="1" x14ac:dyDescent="0.2">
      <c r="A9" s="111" t="s">
        <v>142</v>
      </c>
      <c r="B9" s="111"/>
      <c r="C9" s="111"/>
    </row>
    <row r="10" spans="1:3" x14ac:dyDescent="0.2">
      <c r="A10" s="78" t="s">
        <v>140</v>
      </c>
      <c r="B10">
        <f>B2*(1+B6)^B4</f>
        <v>199.99999999999994</v>
      </c>
      <c r="C10" t="e">
        <f ca="1">"&lt;-- "&amp;_xlfn.FORMULATEXT(B10)</f>
        <v>#NAME?</v>
      </c>
    </row>
    <row r="11" spans="1:3" x14ac:dyDescent="0.2">
      <c r="A11" s="78" t="s">
        <v>141</v>
      </c>
      <c r="B11">
        <f>B2*EXP(B7*B4)</f>
        <v>200</v>
      </c>
      <c r="C11" t="e">
        <f ca="1">"&lt;-- "&amp;_xlfn.FORMULATEXT(B11)</f>
        <v>#NAME?</v>
      </c>
    </row>
  </sheetData>
  <mergeCells count="2">
    <mergeCell ref="A1:C1"/>
    <mergeCell ref="A9:C9"/>
  </mergeCells>
  <printOptions headings="1" gridLines="1"/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23</vt:i4>
      </vt:variant>
    </vt:vector>
  </HeadingPairs>
  <TitlesOfParts>
    <vt:vector size="23" baseType="lpstr">
      <vt:lpstr>Index</vt:lpstr>
      <vt:lpstr>Page 138</vt:lpstr>
      <vt:lpstr>Page 140</vt:lpstr>
      <vt:lpstr>Page 141</vt:lpstr>
      <vt:lpstr>Page 142</vt:lpstr>
      <vt:lpstr>Page 144</vt:lpstr>
      <vt:lpstr>Page 145+146</vt:lpstr>
      <vt:lpstr>Page 147</vt:lpstr>
      <vt:lpstr>Page 149</vt:lpstr>
      <vt:lpstr>Page 150</vt:lpstr>
      <vt:lpstr>Page 152</vt:lpstr>
      <vt:lpstr>Page 153</vt:lpstr>
      <vt:lpstr>Page 153 bottom + page 154</vt:lpstr>
      <vt:lpstr>Page 155</vt:lpstr>
      <vt:lpstr>Page 158</vt:lpstr>
      <vt:lpstr>Page 160</vt:lpstr>
      <vt:lpstr>Page 161</vt:lpstr>
      <vt:lpstr>Page 164</vt:lpstr>
      <vt:lpstr>Page 165</vt:lpstr>
      <vt:lpstr>Pages 165+166, drawings</vt:lpstr>
      <vt:lpstr>Page 166</vt:lpstr>
      <vt:lpstr>Page 167</vt:lpstr>
      <vt:lpstr>Page 168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2001-01-18T15:15:11Z</dcterms:created>
  <dcterms:modified xsi:type="dcterms:W3CDTF">2017-08-02T15:05:18Z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Chapter05 - effective interest rates (1).xlsm</vt:lpwstr>
  </property>
</Properties>
</file>