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21656B06-1B9B-AA78-C99D-37B55691406E}"/>
  <workbookPr codeName="ThisWorkbook"/>
  <bookViews>
    <workbookView xWindow="0" yWindow="0" windowWidth="10125" windowHeight="3330"/>
  </bookViews>
  <sheets>
    <sheet name="Index" sheetId="55" r:id="rId1"/>
    <sheet name="Page 176" sheetId="1" r:id="rId2"/>
    <sheet name="Page 177" sheetId="2" r:id="rId3"/>
    <sheet name="Page 178" sheetId="3" r:id="rId4"/>
    <sheet name="PageS 179, 181 and 182" sheetId="4" r:id="rId5"/>
    <sheet name="Page 183" sheetId="5" r:id="rId6"/>
    <sheet name="Pages 184+185" sheetId="6" r:id="rId7"/>
    <sheet name="Page 188" sheetId="9" r:id="rId8"/>
    <sheet name="Page 189" sheetId="10" r:id="rId9"/>
    <sheet name="Page 190" sheetId="13" r:id="rId10"/>
    <sheet name="Page 191" sheetId="16" r:id="rId11"/>
    <sheet name="Pages 192-193" sheetId="14" r:id="rId12"/>
    <sheet name="Page 195" sheetId="15" r:id="rId13"/>
    <sheet name="Page 196" sheetId="28" r:id="rId14"/>
    <sheet name="Page 197" sheetId="29" r:id="rId15"/>
    <sheet name="Page 198" sheetId="30" r:id="rId16"/>
    <sheet name="Page 199" sheetId="31" r:id="rId17"/>
    <sheet name="Page 202" sheetId="32" r:id="rId18"/>
    <sheet name="Page 204" sheetId="33" r:id="rId19"/>
    <sheet name="Page 205" sheetId="34" r:id="rId20"/>
    <sheet name="Page 207" sheetId="52" r:id="rId21"/>
    <sheet name="Page 208" sheetId="53" r:id="rId2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6" l="1"/>
  <c r="C35" i="6"/>
  <c r="C33" i="6"/>
  <c r="B23" i="6"/>
  <c r="C24" i="6"/>
  <c r="C18" i="6"/>
  <c r="C17" i="6"/>
  <c r="C16" i="6"/>
  <c r="C13" i="6"/>
  <c r="C12" i="6"/>
  <c r="C11" i="6"/>
  <c r="B10" i="6"/>
  <c r="B17" i="6" s="1"/>
  <c r="F10" i="6"/>
  <c r="B11" i="6" l="1"/>
  <c r="F9" i="6"/>
  <c r="B12" i="6" l="1"/>
  <c r="B13" i="6" s="1"/>
  <c r="B16" i="6" s="1"/>
  <c r="B18" i="6" s="1"/>
  <c r="B24" i="6" s="1"/>
  <c r="F8" i="6"/>
  <c r="B25" i="6" l="1"/>
  <c r="B26" i="6" s="1"/>
  <c r="B27" i="6" s="1"/>
  <c r="B28" i="6" s="1"/>
  <c r="B29" i="6" s="1"/>
  <c r="B30" i="6" s="1"/>
  <c r="B31" i="6" s="1"/>
  <c r="B32" i="6" s="1"/>
  <c r="E8" i="6"/>
  <c r="E9" i="6" l="1"/>
  <c r="E10" i="6" s="1"/>
  <c r="B33" i="6" s="1"/>
  <c r="B19" i="4"/>
  <c r="B14" i="55"/>
  <c r="B21" i="55"/>
  <c r="B5" i="55"/>
  <c r="B7" i="55"/>
  <c r="B16" i="55"/>
  <c r="B11" i="55"/>
  <c r="B4" i="55"/>
  <c r="B20" i="55"/>
  <c r="B23" i="55"/>
  <c r="B10" i="55"/>
  <c r="B19" i="55"/>
  <c r="B17" i="55"/>
  <c r="B8" i="55"/>
  <c r="B22" i="55"/>
  <c r="B15" i="55"/>
  <c r="B12" i="55"/>
  <c r="B9" i="55"/>
  <c r="B18" i="55"/>
  <c r="B6" i="55"/>
  <c r="B13" i="55"/>
  <c r="B3" i="55"/>
  <c r="B35" i="6" l="1"/>
  <c r="B36" i="6"/>
  <c r="B40" i="6" s="1"/>
  <c r="C15" i="53"/>
  <c r="D15" i="53" s="1"/>
  <c r="F15" i="53" s="1"/>
  <c r="F14" i="53"/>
  <c r="D14" i="53"/>
  <c r="C14" i="53"/>
  <c r="D13" i="53"/>
  <c r="F13" i="53" s="1"/>
  <c r="C13" i="53"/>
  <c r="C12" i="53"/>
  <c r="D12" i="53" s="1"/>
  <c r="F12" i="53" s="1"/>
  <c r="D11" i="53"/>
  <c r="F11" i="53" s="1"/>
  <c r="C11" i="53"/>
  <c r="C10" i="53"/>
  <c r="D10" i="53" s="1"/>
  <c r="F10" i="53" s="1"/>
  <c r="F9" i="53"/>
  <c r="B6" i="53"/>
  <c r="C14" i="52"/>
  <c r="D14" i="52" s="1"/>
  <c r="F14" i="52" s="1"/>
  <c r="C13" i="52"/>
  <c r="D13" i="52" s="1"/>
  <c r="F13" i="52" s="1"/>
  <c r="C12" i="52"/>
  <c r="D12" i="52" s="1"/>
  <c r="F12" i="52" s="1"/>
  <c r="C11" i="52"/>
  <c r="D11" i="52" s="1"/>
  <c r="F11" i="52" s="1"/>
  <c r="D10" i="52"/>
  <c r="F10" i="52" s="1"/>
  <c r="C10" i="52"/>
  <c r="C9" i="52"/>
  <c r="D9" i="52" s="1"/>
  <c r="F9" i="52" s="1"/>
  <c r="F8" i="52"/>
  <c r="B5" i="52"/>
  <c r="B12" i="34"/>
  <c r="B13" i="34" s="1"/>
  <c r="B14" i="34" s="1"/>
  <c r="E40" i="34" s="1"/>
  <c r="B7" i="34"/>
  <c r="E43" i="34" s="1"/>
  <c r="E6" i="34"/>
  <c r="B25" i="33"/>
  <c r="B21" i="33"/>
  <c r="B20" i="33"/>
  <c r="B10" i="33"/>
  <c r="B11" i="33" s="1"/>
  <c r="B8" i="31"/>
  <c r="B42" i="30"/>
  <c r="C42" i="30" s="1"/>
  <c r="B41" i="30"/>
  <c r="C41" i="30" s="1"/>
  <c r="B40" i="30"/>
  <c r="C40" i="30" s="1"/>
  <c r="B39" i="30"/>
  <c r="C39" i="30" s="1"/>
  <c r="B38" i="30"/>
  <c r="C38" i="30" s="1"/>
  <c r="B37" i="30"/>
  <c r="B12" i="30"/>
  <c r="C12" i="30" s="1"/>
  <c r="B11" i="30"/>
  <c r="C11" i="30" s="1"/>
  <c r="B10" i="30"/>
  <c r="C10" i="30" s="1"/>
  <c r="C9" i="30"/>
  <c r="B9" i="30"/>
  <c r="B8" i="30"/>
  <c r="C8" i="30" s="1"/>
  <c r="B7" i="30"/>
  <c r="C7" i="30" s="1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5" i="29"/>
  <c r="B42" i="28"/>
  <c r="C42" i="28" s="1"/>
  <c r="B41" i="28"/>
  <c r="B40" i="28"/>
  <c r="C40" i="28" s="1"/>
  <c r="B39" i="28"/>
  <c r="B38" i="28"/>
  <c r="C38" i="28" s="1"/>
  <c r="B37" i="28"/>
  <c r="B12" i="28"/>
  <c r="B11" i="28"/>
  <c r="B10" i="28"/>
  <c r="B9" i="28"/>
  <c r="B8" i="28"/>
  <c r="B7" i="28"/>
  <c r="B14" i="28" s="1"/>
  <c r="C7" i="34"/>
  <c r="B30" i="29" l="1"/>
  <c r="E5" i="34"/>
  <c r="E11" i="34"/>
  <c r="E17" i="34"/>
  <c r="B22" i="33"/>
  <c r="E13" i="34"/>
  <c r="B6" i="32"/>
  <c r="E7" i="34"/>
  <c r="E15" i="34"/>
  <c r="E24" i="34"/>
  <c r="B3" i="32"/>
  <c r="B5" i="31"/>
  <c r="B45" i="28"/>
  <c r="C37" i="28"/>
  <c r="B7" i="32"/>
  <c r="B9" i="31"/>
  <c r="C41" i="28"/>
  <c r="B14" i="30"/>
  <c r="B15" i="30"/>
  <c r="E10" i="34"/>
  <c r="E42" i="34"/>
  <c r="E38" i="34"/>
  <c r="E34" i="34"/>
  <c r="E30" i="34"/>
  <c r="E26" i="34"/>
  <c r="E22" i="34"/>
  <c r="E18" i="34"/>
  <c r="E12" i="34"/>
  <c r="E8" i="34"/>
  <c r="E36" i="34"/>
  <c r="E20" i="34"/>
  <c r="E14" i="34"/>
  <c r="E32" i="34"/>
  <c r="E44" i="34"/>
  <c r="E28" i="34"/>
  <c r="E16" i="34"/>
  <c r="B19" i="53"/>
  <c r="B5" i="32"/>
  <c r="B7" i="31"/>
  <c r="C39" i="28"/>
  <c r="B45" i="30"/>
  <c r="B61" i="33"/>
  <c r="B17" i="52"/>
  <c r="B23" i="53"/>
  <c r="B6" i="31"/>
  <c r="B10" i="31"/>
  <c r="B4" i="32"/>
  <c r="B8" i="32"/>
  <c r="B22" i="52"/>
  <c r="B21" i="52"/>
  <c r="B23" i="52" s="1"/>
  <c r="C37" i="30"/>
  <c r="C43" i="30" s="1"/>
  <c r="B12" i="33"/>
  <c r="B13" i="33" s="1"/>
  <c r="B15" i="33" s="1"/>
  <c r="B18" i="52"/>
  <c r="B22" i="53"/>
  <c r="B24" i="53" s="1"/>
  <c r="E21" i="34"/>
  <c r="E25" i="34"/>
  <c r="E29" i="34"/>
  <c r="E33" i="34"/>
  <c r="E37" i="34"/>
  <c r="E41" i="34"/>
  <c r="E9" i="34"/>
  <c r="B16" i="34"/>
  <c r="E19" i="34"/>
  <c r="E23" i="34"/>
  <c r="E27" i="34"/>
  <c r="E31" i="34"/>
  <c r="E35" i="34"/>
  <c r="E39" i="34"/>
  <c r="B18" i="53"/>
  <c r="C26" i="33"/>
  <c r="C17" i="52"/>
  <c r="C13" i="14"/>
  <c r="C45" i="28"/>
  <c r="C14" i="30"/>
  <c r="C19" i="53"/>
  <c r="C5" i="29"/>
  <c r="C23" i="52"/>
  <c r="F47" i="34"/>
  <c r="C35" i="33"/>
  <c r="C17" i="9"/>
  <c r="C16" i="9"/>
  <c r="C24" i="53"/>
  <c r="C21" i="33"/>
  <c r="C15" i="30"/>
  <c r="G11" i="53"/>
  <c r="G9" i="52"/>
  <c r="C6" i="53"/>
  <c r="C23" i="53"/>
  <c r="F46" i="34"/>
  <c r="G10" i="52"/>
  <c r="C13" i="34"/>
  <c r="C14" i="28"/>
  <c r="E10" i="53"/>
  <c r="C16" i="34"/>
  <c r="G7" i="9"/>
  <c r="C45" i="30"/>
  <c r="G17" i="9"/>
  <c r="C11" i="33"/>
  <c r="C18" i="52"/>
  <c r="C21" i="52"/>
  <c r="D8" i="30"/>
  <c r="C73" i="33"/>
  <c r="E9" i="52"/>
  <c r="C13" i="33"/>
  <c r="E10" i="52"/>
  <c r="C22" i="52"/>
  <c r="E11" i="53"/>
  <c r="C22" i="53"/>
  <c r="C12" i="14"/>
  <c r="C12" i="31"/>
  <c r="C15" i="33"/>
  <c r="C18" i="9"/>
  <c r="G15" i="9"/>
  <c r="C22" i="33"/>
  <c r="D7" i="30"/>
  <c r="C12" i="33"/>
  <c r="G8" i="9"/>
  <c r="C10" i="32"/>
  <c r="C20" i="33"/>
  <c r="D9" i="30"/>
  <c r="C18" i="53"/>
  <c r="C14" i="34"/>
  <c r="G10" i="53"/>
  <c r="C5" i="52"/>
  <c r="C30" i="29"/>
  <c r="E46" i="34" l="1"/>
  <c r="E47" i="34" s="1"/>
  <c r="B34" i="33"/>
  <c r="B70" i="33" s="1"/>
  <c r="B30" i="33"/>
  <c r="B66" i="33" s="1"/>
  <c r="B33" i="33"/>
  <c r="B69" i="33" s="1"/>
  <c r="B29" i="33"/>
  <c r="B65" i="33" s="1"/>
  <c r="B35" i="33"/>
  <c r="B71" i="33" s="1"/>
  <c r="B27" i="33"/>
  <c r="B63" i="33" s="1"/>
  <c r="B32" i="33"/>
  <c r="B68" i="33" s="1"/>
  <c r="B26" i="33"/>
  <c r="B31" i="33"/>
  <c r="B67" i="33" s="1"/>
  <c r="B28" i="33"/>
  <c r="B64" i="33" s="1"/>
  <c r="B10" i="32"/>
  <c r="C43" i="28"/>
  <c r="B12" i="31"/>
  <c r="B62" i="33" l="1"/>
  <c r="B73" i="33" s="1"/>
  <c r="B37" i="33"/>
  <c r="C32" i="16" l="1"/>
  <c r="C31" i="16"/>
  <c r="C30" i="16"/>
  <c r="C29" i="16"/>
  <c r="C28" i="16"/>
  <c r="B27" i="16"/>
  <c r="F27" i="16" s="1"/>
  <c r="B18" i="16"/>
  <c r="B15" i="16"/>
  <c r="C15" i="16" s="1"/>
  <c r="D15" i="16" s="1"/>
  <c r="C14" i="16"/>
  <c r="D14" i="16" s="1"/>
  <c r="D32" i="16" s="1"/>
  <c r="D13" i="16"/>
  <c r="D31" i="16" s="1"/>
  <c r="C13" i="16"/>
  <c r="C12" i="16"/>
  <c r="D12" i="16" s="1"/>
  <c r="D30" i="16" s="1"/>
  <c r="F30" i="16" s="1"/>
  <c r="C11" i="16"/>
  <c r="D11" i="16" s="1"/>
  <c r="D29" i="16" s="1"/>
  <c r="C10" i="16"/>
  <c r="D10" i="16" s="1"/>
  <c r="D28" i="16" s="1"/>
  <c r="B30" i="15"/>
  <c r="B29" i="15"/>
  <c r="B28" i="15"/>
  <c r="B27" i="15"/>
  <c r="B26" i="15"/>
  <c r="B25" i="15"/>
  <c r="B20" i="15"/>
  <c r="B41" i="15" s="1"/>
  <c r="B19" i="15"/>
  <c r="B40" i="15" s="1"/>
  <c r="B18" i="15"/>
  <c r="B17" i="15"/>
  <c r="B38" i="15" s="1"/>
  <c r="B16" i="15"/>
  <c r="B37" i="15" s="1"/>
  <c r="B15" i="15"/>
  <c r="B36" i="15" s="1"/>
  <c r="B27" i="14"/>
  <c r="B26" i="14"/>
  <c r="B13" i="14"/>
  <c r="B12" i="14"/>
  <c r="B28" i="13"/>
  <c r="B29" i="13" s="1"/>
  <c r="B30" i="13" s="1"/>
  <c r="B15" i="13"/>
  <c r="B22" i="13" s="1"/>
  <c r="B14" i="13"/>
  <c r="B13" i="13"/>
  <c r="B12" i="13"/>
  <c r="F7" i="13"/>
  <c r="C17" i="13"/>
  <c r="C30" i="13"/>
  <c r="C26" i="15"/>
  <c r="G8" i="13"/>
  <c r="C28" i="13"/>
  <c r="G28" i="16"/>
  <c r="G16" i="13"/>
  <c r="C22" i="16"/>
  <c r="G7" i="13"/>
  <c r="G14" i="13"/>
  <c r="C25" i="15"/>
  <c r="C42" i="15"/>
  <c r="C18" i="16"/>
  <c r="C19" i="16"/>
  <c r="E10" i="16"/>
  <c r="C34" i="16"/>
  <c r="C21" i="16"/>
  <c r="C29" i="13"/>
  <c r="C37" i="15"/>
  <c r="C35" i="16"/>
  <c r="C15" i="15"/>
  <c r="E12" i="16"/>
  <c r="C20" i="16"/>
  <c r="E13" i="16"/>
  <c r="C16" i="15"/>
  <c r="C31" i="15"/>
  <c r="C21" i="15"/>
  <c r="C16" i="13"/>
  <c r="C18" i="13"/>
  <c r="C36" i="15"/>
  <c r="E11" i="16"/>
  <c r="B31" i="15" l="1"/>
  <c r="B16" i="13"/>
  <c r="B39" i="15"/>
  <c r="B42" i="15" s="1"/>
  <c r="F29" i="16"/>
  <c r="F28" i="16"/>
  <c r="F31" i="16"/>
  <c r="B17" i="13"/>
  <c r="B18" i="13" s="1"/>
  <c r="B21" i="13" s="1"/>
  <c r="B23" i="13" s="1"/>
  <c r="B21" i="15"/>
  <c r="B19" i="16"/>
  <c r="B20" i="16" s="1"/>
  <c r="B21" i="16" s="1"/>
  <c r="B22" i="16" s="1"/>
  <c r="E32" i="16" s="1"/>
  <c r="F32" i="16" s="1"/>
  <c r="B35" i="16" l="1"/>
  <c r="F10" i="13"/>
  <c r="F13" i="13"/>
  <c r="F14" i="13"/>
  <c r="F12" i="13"/>
  <c r="F9" i="13"/>
  <c r="F11" i="13"/>
  <c r="F8" i="13"/>
  <c r="B34" i="16"/>
  <c r="F16" i="13" l="1"/>
  <c r="B28" i="10" l="1"/>
  <c r="B29" i="10" s="1"/>
  <c r="B30" i="10" s="1"/>
  <c r="B15" i="10"/>
  <c r="B22" i="10" s="1"/>
  <c r="B14" i="10"/>
  <c r="B13" i="10"/>
  <c r="B12" i="10"/>
  <c r="B16" i="10" s="1"/>
  <c r="F7" i="10"/>
  <c r="B28" i="9"/>
  <c r="B29" i="9" s="1"/>
  <c r="B30" i="9" s="1"/>
  <c r="B15" i="9"/>
  <c r="B22" i="9" s="1"/>
  <c r="B14" i="9"/>
  <c r="B13" i="9"/>
  <c r="B12" i="9"/>
  <c r="F7" i="9"/>
  <c r="C17" i="10"/>
  <c r="G8" i="10"/>
  <c r="C29" i="10"/>
  <c r="G16" i="10"/>
  <c r="C30" i="9"/>
  <c r="C30" i="10"/>
  <c r="C29" i="9"/>
  <c r="G7" i="10"/>
  <c r="G14" i="10"/>
  <c r="C16" i="10"/>
  <c r="C18" i="10"/>
  <c r="C28" i="10"/>
  <c r="C28" i="9"/>
  <c r="B16" i="9" l="1"/>
  <c r="B17" i="10"/>
  <c r="B18" i="10"/>
  <c r="B21" i="10" s="1"/>
  <c r="B23" i="10"/>
  <c r="B17" i="9"/>
  <c r="B18" i="9" s="1"/>
  <c r="B21" i="9" s="1"/>
  <c r="B23" i="9" s="1"/>
  <c r="F14" i="9" l="1"/>
  <c r="F12" i="9"/>
  <c r="F9" i="9"/>
  <c r="F15" i="9"/>
  <c r="F13" i="9"/>
  <c r="F8" i="9"/>
  <c r="F10" i="9"/>
  <c r="F11" i="9"/>
  <c r="F14" i="10"/>
  <c r="F13" i="10"/>
  <c r="F11" i="10"/>
  <c r="F8" i="10"/>
  <c r="F10" i="10"/>
  <c r="F12" i="10"/>
  <c r="F9" i="10"/>
  <c r="F17" i="9" l="1"/>
  <c r="F16" i="10"/>
  <c r="B18" i="5" l="1"/>
  <c r="B17" i="5"/>
  <c r="B5" i="5"/>
  <c r="B31" i="4"/>
  <c r="B24" i="4"/>
  <c r="B22" i="4"/>
  <c r="B27" i="4" s="1"/>
  <c r="B18" i="4"/>
  <c r="C27" i="4"/>
  <c r="C28" i="4"/>
  <c r="C29" i="4"/>
  <c r="C19" i="4"/>
  <c r="C18" i="4"/>
  <c r="C17" i="5"/>
  <c r="C18" i="5"/>
  <c r="C32" i="4"/>
  <c r="C17" i="4"/>
  <c r="C31" i="4"/>
  <c r="B28" i="4" l="1"/>
  <c r="B29" i="4" s="1"/>
  <c r="B32" i="4" s="1"/>
  <c r="B11" i="4"/>
  <c r="B12" i="4" s="1"/>
  <c r="C13" i="4"/>
  <c r="C11" i="4"/>
  <c r="C12" i="4"/>
  <c r="B13" i="4" l="1"/>
  <c r="B17" i="4" s="1"/>
  <c r="C7" i="3"/>
  <c r="C8" i="3" s="1"/>
  <c r="C6" i="3"/>
  <c r="B6" i="3"/>
  <c r="B8" i="3" s="1"/>
  <c r="B8" i="2"/>
  <c r="B4" i="2"/>
  <c r="B10" i="2" s="1"/>
  <c r="B8" i="1"/>
  <c r="B4" i="1"/>
  <c r="C4" i="2"/>
  <c r="C8" i="1"/>
  <c r="C8" i="2"/>
  <c r="D8" i="3"/>
  <c r="C4" i="1"/>
  <c r="C10" i="2"/>
</calcChain>
</file>

<file path=xl/sharedStrings.xml><?xml version="1.0" encoding="utf-8"?>
<sst xmlns="http://schemas.openxmlformats.org/spreadsheetml/2006/main" count="392" uniqueCount="195">
  <si>
    <t>PIZZA PARLOR CASH FLOW</t>
  </si>
  <si>
    <t>Pizza sold</t>
  </si>
  <si>
    <t>Cost of ingredients</t>
  </si>
  <si>
    <t>Profit</t>
  </si>
  <si>
    <t>Collected on sales</t>
  </si>
  <si>
    <t>Paid for ingredients</t>
  </si>
  <si>
    <t>Net in cash register</t>
  </si>
  <si>
    <t>PIZZA PARLOR CASH FLOW
as seen by the accountant</t>
  </si>
  <si>
    <t>Increase in accounts receivable</t>
  </si>
  <si>
    <t>&lt;-- Unpaid bills to suppliers</t>
  </si>
  <si>
    <t>Increase in net working capital</t>
  </si>
  <si>
    <t>Cash flow for the day:
Profit + change in NWC</t>
  </si>
  <si>
    <t>IGNORE SUNK COSTS</t>
  </si>
  <si>
    <t>House cost</t>
  </si>
  <si>
    <t>Fix up cost</t>
  </si>
  <si>
    <t>Year</t>
  </si>
  <si>
    <t>Include sunk costs:  WRONG!</t>
  </si>
  <si>
    <t>Marginal cash flow:  RIGHT!</t>
  </si>
  <si>
    <t>IRR</t>
  </si>
  <si>
    <t>Cost of condo</t>
  </si>
  <si>
    <t>Sally &amp; Dave's tax rate</t>
  </si>
  <si>
    <t>Annual reportable income calculation</t>
  </si>
  <si>
    <t>Rent</t>
  </si>
  <si>
    <t>Expenses</t>
  </si>
  <si>
    <t>Property taxes</t>
  </si>
  <si>
    <t>Miscellaneous expenses</t>
  </si>
  <si>
    <t>Depreciation</t>
  </si>
  <si>
    <t>Reportable income</t>
  </si>
  <si>
    <t>Taxes (rate = 30%)</t>
  </si>
  <si>
    <t>Net income</t>
  </si>
  <si>
    <t>Cash flow</t>
  </si>
  <si>
    <t>Add back depreciation</t>
  </si>
  <si>
    <t>Cash flow, method 1
Add back depreciation</t>
  </si>
  <si>
    <t>Cash flow, method 2
Compute after-tax income without depreciation, then add depreciation tax shield</t>
  </si>
  <si>
    <t>Depreciation tax shield</t>
  </si>
  <si>
    <t>Net income without depreciation</t>
  </si>
  <si>
    <t>SALLY &amp; DAVE'S CONDO--PRELIMINARY VALUATION</t>
  </si>
  <si>
    <t>Discount rate</t>
  </si>
  <si>
    <t>Net present value, NPV</t>
  </si>
  <si>
    <t>Internal rate of return, IRR</t>
  </si>
  <si>
    <t>Terminal value</t>
  </si>
  <si>
    <t>Book value</t>
  </si>
  <si>
    <t xml:space="preserve">     Property taxes</t>
  </si>
  <si>
    <t>Taxable gain</t>
  </si>
  <si>
    <t xml:space="preserve">     Miscellaneous expenses</t>
  </si>
  <si>
    <t>Taxes</t>
  </si>
  <si>
    <t>Net after-tax cash flow 
from  terminal value</t>
  </si>
  <si>
    <t>NPV of condo investment</t>
  </si>
  <si>
    <t>IRR of investment</t>
  </si>
  <si>
    <t>Data table--Condo IRR as function of annual rent and terminal value</t>
  </si>
  <si>
    <t>Terminal value --&gt;</t>
  </si>
  <si>
    <t>Cashflow</t>
  </si>
  <si>
    <t>Cost of the machine</t>
  </si>
  <si>
    <t>Annual anticipated sales</t>
  </si>
  <si>
    <t>Annual COGS</t>
  </si>
  <si>
    <t>Annual SG&amp;A</t>
  </si>
  <si>
    <t>NPV Analysis</t>
  </si>
  <si>
    <t>Annual depreciation</t>
  </si>
  <si>
    <t>Tax rate</t>
  </si>
  <si>
    <t>Annual profit and loss (P&amp;L)</t>
  </si>
  <si>
    <t>Sales</t>
  </si>
  <si>
    <t>Minus COGS</t>
  </si>
  <si>
    <t>Minus SG&amp;A</t>
  </si>
  <si>
    <t>Minus depreciation</t>
  </si>
  <si>
    <t>Profit before taxes</t>
  </si>
  <si>
    <t>Subtract taxes</t>
  </si>
  <si>
    <t>NPV</t>
  </si>
  <si>
    <t>Profit after taxes</t>
  </si>
  <si>
    <t>Calculating the annual cash flow</t>
  </si>
  <si>
    <t>BUYING A MACHINE--NPV ANALYSIS
with salvage value</t>
  </si>
  <si>
    <t>Calculating the cash flow from salvage value</t>
  </si>
  <si>
    <t>Machine market value, year 8</t>
  </si>
  <si>
    <t>Book value, year 8</t>
  </si>
  <si>
    <t>Taxes paid on gain</t>
  </si>
  <si>
    <t>Cash flow from salvage value</t>
  </si>
  <si>
    <t>BUYING A MACHINE--NPV ANALYSIS
with salvage value
Machine sold at end of year 7</t>
  </si>
  <si>
    <t>Machine market value, year 7</t>
  </si>
  <si>
    <t>Book value, year 7</t>
  </si>
  <si>
    <t>Estimated resale value, year 10</t>
  </si>
  <si>
    <r>
      <t>Note</t>
    </r>
    <r>
      <rPr>
        <sz val="10"/>
        <rFont val="Arial"/>
        <family val="2"/>
      </rPr>
      <t>:  The data table above computes the IRR of the condo investment for combinations of rent (from $18,000 to $26,000 per year) and terminal value (from $50,000 to $160,000).  Data tables are very useful, though not trivial to compute.  See Chapter ??? for more information.</t>
    </r>
  </si>
  <si>
    <t>DON'T FORGET THE COST OF
 FOREGONE OPPORTUNITIES</t>
  </si>
  <si>
    <t xml:space="preserve">     The $300 direct cost + $200  
&lt;-- value of the existing machines</t>
  </si>
  <si>
    <t>SELL THE PHOTOCOPIER OR FIX IT UP?</t>
  </si>
  <si>
    <t>Annual cost savings (before tax) after fixing up the machine</t>
  </si>
  <si>
    <t>Book value of machine</t>
  </si>
  <si>
    <t>Market value of machine</t>
  </si>
  <si>
    <t>Rehab cost of machine</t>
  </si>
  <si>
    <t>Annual depreciation if machine is retained</t>
  </si>
  <si>
    <t>Annual copying costs</t>
  </si>
  <si>
    <t xml:space="preserve">     In-house</t>
  </si>
  <si>
    <t xml:space="preserve">     Outsourcing</t>
  </si>
  <si>
    <t>Alternative 1:  Fix up machine and do copying in-house</t>
  </si>
  <si>
    <t>NPV of fixing up machine and in-house copying</t>
  </si>
  <si>
    <t>Alternative 2:  Sell machine and outsource copying</t>
  </si>
  <si>
    <t>NPV of selling machine and outsourcing</t>
  </si>
  <si>
    <t>Subtract Alternative 2 CFs from Alternative 1 CFs</t>
  </si>
  <si>
    <t>NPV(Alternative 1 - Alternative 2)</t>
  </si>
  <si>
    <t>CAPITAL BUDGETING WITH ACCELERATED DEPRECIATION</t>
  </si>
  <si>
    <t>Machine cost</t>
  </si>
  <si>
    <t>Annual materials savings, before tax</t>
  </si>
  <si>
    <t>Salvage value, end of year 5</t>
  </si>
  <si>
    <t>Accelerated depreciation schedule (ACRS)</t>
  </si>
  <si>
    <t>ACRS
depreciation
percentage</t>
  </si>
  <si>
    <t>Actual
depreciation</t>
  </si>
  <si>
    <t>Depreciation
tax shield</t>
  </si>
  <si>
    <t>Terminal value, end of year 5</t>
  </si>
  <si>
    <t>End-year 5 sale price, estimated</t>
  </si>
  <si>
    <t>End-year 5 book value</t>
  </si>
  <si>
    <t>Net cash flow from terminal value</t>
  </si>
  <si>
    <t>Net present value calculation</t>
  </si>
  <si>
    <t>Cost</t>
  </si>
  <si>
    <t>After-tax cost savings</t>
  </si>
  <si>
    <t>Total cash flow</t>
  </si>
  <si>
    <t>Net present value</t>
  </si>
  <si>
    <t>Annual discount rate</t>
  </si>
  <si>
    <t>NPV, CASH FLOWS OCCUR 
AT YEAR END</t>
  </si>
  <si>
    <t>Initial cost</t>
  </si>
  <si>
    <t>Annual cash flow</t>
  </si>
  <si>
    <t>NPV of year-end cash flows</t>
  </si>
  <si>
    <t>Mid-year discounting</t>
  </si>
  <si>
    <t>Annual cashflow</t>
  </si>
  <si>
    <t>Discounted value</t>
  </si>
  <si>
    <t>NPV, mid-year</t>
  </si>
  <si>
    <t>NPV, CASH FLOWS OCCUR 
EACH QUARTER</t>
  </si>
  <si>
    <t>Quarterly discount rate</t>
  </si>
  <si>
    <t>Quarter</t>
  </si>
  <si>
    <t>Quarterly
cash flow</t>
  </si>
  <si>
    <t>NPV, quarterly cash flows</t>
  </si>
  <si>
    <t>MID-YEAR DISCOUNTING</t>
  </si>
  <si>
    <t>CALCULATING THE MID-YEAR
NPV WITH EXCEL'S XNPV FUNCTION</t>
  </si>
  <si>
    <t>Date</t>
  </si>
  <si>
    <t>Net after tax--cash flow from terminal value</t>
  </si>
  <si>
    <t>Mid-year IRR</t>
  </si>
  <si>
    <t>SALLY &amp; DAVE'S CONDO--INCORPORATING MID-YEAR CASH FLOWS</t>
  </si>
  <si>
    <t>Return on the condo--Taking into account mid-year cash flows</t>
  </si>
  <si>
    <t>Midyear cashflows</t>
  </si>
  <si>
    <t>&lt;-- Rent + miscellaneous expenses</t>
  </si>
  <si>
    <t>&lt;-- Property and income taxes</t>
  </si>
  <si>
    <t>Sum of midyear cash flows</t>
  </si>
  <si>
    <t>End-year cash flows</t>
  </si>
  <si>
    <t>Reported income</t>
  </si>
  <si>
    <t>Income taxes</t>
  </si>
  <si>
    <t>Sum of end-year cash flows</t>
  </si>
  <si>
    <t>&lt;-- Sale of condo + taxes</t>
  </si>
  <si>
    <t>IRR (semiannual)</t>
  </si>
  <si>
    <t>IRR (annualized)</t>
  </si>
  <si>
    <t>CAPITAL BUDGETING FOR THE WIDGET MACHINE</t>
  </si>
  <si>
    <t>Inflation rate</t>
  </si>
  <si>
    <t>Widget price today</t>
  </si>
  <si>
    <t>Nominal discount rate</t>
  </si>
  <si>
    <t>Equivalent real discount rate</t>
  </si>
  <si>
    <t>Widgets
sold</t>
  </si>
  <si>
    <t>Anticipated
nominal
widget price</t>
  </si>
  <si>
    <t>Anticipated
nominal
cash flow</t>
  </si>
  <si>
    <t>Anticipated real cash
flow in 
year 0 dollars</t>
  </si>
  <si>
    <t>NPV calculations</t>
  </si>
  <si>
    <t xml:space="preserve">     Discounting nominal cash
     flows at nominal discount
     rates</t>
  </si>
  <si>
    <t xml:space="preserve">     Discounting real cash
     flows at real discount
     rates</t>
  </si>
  <si>
    <t>IRR calculations</t>
  </si>
  <si>
    <t xml:space="preserve">     Nominal IRR</t>
  </si>
  <si>
    <t xml:space="preserve">     Real IRR</t>
  </si>
  <si>
    <t xml:space="preserve">     (1+nominal IRR)/(1+inflation)-1</t>
  </si>
  <si>
    <t>CAPITAL BUDGETING FOR THE WIDGET MACHINE
Widget prices increase at a different rate than the inflation rate</t>
  </si>
  <si>
    <t>Annual increase in widget prices</t>
  </si>
  <si>
    <t>Increase in accounts payable</t>
  </si>
  <si>
    <t>&lt;-- Unpaid bills by customers</t>
  </si>
  <si>
    <t>Page</t>
  </si>
  <si>
    <t>Content</t>
  </si>
  <si>
    <t>SALLY &amp; DAVE'S CONDO -- DEPRECIATION</t>
  </si>
  <si>
    <t>SALLY &amp; DAVE'S CONDO:  PROFITABILITY AND TERMINAL VALUE</t>
  </si>
  <si>
    <t>BUYING A MACHINE--NPV ANALYSIS WITH SALVAGE VALUE
Machine sold at end of year 7</t>
  </si>
  <si>
    <t>CALCULATING THE IRR OF MID-YEAR CASH FLOWS WITH EXCEL'S XIRR FUNCTION</t>
  </si>
  <si>
    <t>SALLY &amp; DAVE'S CONDO
Example from Section 6.3</t>
  </si>
  <si>
    <t>Page 176</t>
  </si>
  <si>
    <t>Page 177</t>
  </si>
  <si>
    <t>Page 178</t>
  </si>
  <si>
    <t>PageS 179, 181 and 182</t>
  </si>
  <si>
    <t>Page 183</t>
  </si>
  <si>
    <t>Pages 184+185</t>
  </si>
  <si>
    <t>Page 188</t>
  </si>
  <si>
    <t>Page 189</t>
  </si>
  <si>
    <t>Page 190</t>
  </si>
  <si>
    <t>Page 191</t>
  </si>
  <si>
    <t>Pages 192-193</t>
  </si>
  <si>
    <t>Page 195</t>
  </si>
  <si>
    <t>Page 196</t>
  </si>
  <si>
    <t>Page 197</t>
  </si>
  <si>
    <t>Page 198</t>
  </si>
  <si>
    <t>Page 199</t>
  </si>
  <si>
    <t>Page 202</t>
  </si>
  <si>
    <t>Page 204</t>
  </si>
  <si>
    <t>Page 205</t>
  </si>
  <si>
    <t>Page 207</t>
  </si>
  <si>
    <t>Page 208</t>
  </si>
  <si>
    <t>CHAPTER 6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</si>
</sst>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7" fillId="0" borderId="0"/>
    <xf numFmtId="9" fontId="10" fillId="0" borderId="0" applyFont="0" applyFill="0" applyBorder="0" applyAlignment="0" applyProtection="0"/>
    <xf numFmtId="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</cellStyleXfs>
  <cellXfs count="10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wrapText="1"/>
    </xf>
    <xf numFmtId="3" fontId="3" fillId="0" borderId="0" xfId="0" applyNumberFormat="1" applyFont="1" applyAlignment="1">
      <alignment horizontal="center"/>
    </xf>
    <xf numFmtId="9" fontId="3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0" xfId="0" applyFont="1"/>
    <xf numFmtId="3" fontId="3" fillId="0" borderId="0" xfId="0" applyNumberFormat="1" applyFont="1"/>
    <xf numFmtId="9" fontId="3" fillId="0" borderId="0" xfId="0" applyNumberFormat="1" applyFont="1"/>
    <xf numFmtId="0" fontId="4" fillId="0" borderId="0" xfId="0" applyFont="1"/>
    <xf numFmtId="0" fontId="2" fillId="0" borderId="0" xfId="0" applyFont="1" applyAlignment="1">
      <alignment horizontal="left" indent="1"/>
    </xf>
    <xf numFmtId="0" fontId="2" fillId="2" borderId="0" xfId="0" applyFont="1" applyFill="1"/>
    <xf numFmtId="3" fontId="3" fillId="2" borderId="0" xfId="0" applyNumberFormat="1" applyFont="1" applyFill="1"/>
    <xf numFmtId="0" fontId="1" fillId="0" borderId="0" xfId="0" applyFont="1"/>
    <xf numFmtId="0" fontId="1" fillId="2" borderId="0" xfId="0" applyFont="1" applyFill="1"/>
    <xf numFmtId="0" fontId="4" fillId="0" borderId="0" xfId="0" applyFont="1" applyAlignment="1">
      <alignment horizontal="center"/>
    </xf>
    <xf numFmtId="0" fontId="4" fillId="2" borderId="0" xfId="0" applyFont="1" applyFill="1"/>
    <xf numFmtId="3" fontId="4" fillId="2" borderId="0" xfId="0" applyNumberFormat="1" applyFont="1" applyFill="1"/>
    <xf numFmtId="10" fontId="4" fillId="2" borderId="0" xfId="0" applyNumberFormat="1" applyFont="1" applyFill="1"/>
    <xf numFmtId="0" fontId="7" fillId="0" borderId="0" xfId="1"/>
    <xf numFmtId="0" fontId="9" fillId="0" borderId="0" xfId="1" applyFont="1"/>
    <xf numFmtId="3" fontId="10" fillId="0" borderId="0" xfId="1" applyNumberFormat="1" applyFont="1"/>
    <xf numFmtId="0" fontId="10" fillId="0" borderId="0" xfId="1" applyFont="1"/>
    <xf numFmtId="9" fontId="10" fillId="0" borderId="0" xfId="2" applyFont="1"/>
    <xf numFmtId="3" fontId="7" fillId="0" borderId="0" xfId="1" applyNumberFormat="1"/>
    <xf numFmtId="0" fontId="7" fillId="0" borderId="0" xfId="1" applyAlignment="1">
      <alignment wrapText="1"/>
    </xf>
    <xf numFmtId="0" fontId="7" fillId="5" borderId="0" xfId="1" applyFill="1" applyAlignment="1">
      <alignment wrapText="1"/>
    </xf>
    <xf numFmtId="3" fontId="7" fillId="5" borderId="0" xfId="1" applyNumberFormat="1" applyFill="1"/>
    <xf numFmtId="0" fontId="7" fillId="5" borderId="0" xfId="1" applyFill="1"/>
    <xf numFmtId="0" fontId="7" fillId="0" borderId="0" xfId="1" applyFill="1"/>
    <xf numFmtId="3" fontId="7" fillId="0" borderId="0" xfId="1" applyNumberFormat="1" applyFill="1"/>
    <xf numFmtId="9" fontId="7" fillId="0" borderId="0" xfId="1" applyNumberFormat="1"/>
    <xf numFmtId="0" fontId="9" fillId="0" borderId="0" xfId="1" applyFont="1" applyAlignment="1">
      <alignment horizontal="center"/>
    </xf>
    <xf numFmtId="0" fontId="7" fillId="0" borderId="0" xfId="1" applyAlignment="1">
      <alignment horizontal="center"/>
    </xf>
    <xf numFmtId="0" fontId="7" fillId="5" borderId="0" xfId="1" applyFill="1" applyAlignment="1">
      <alignment horizontal="left"/>
    </xf>
    <xf numFmtId="10" fontId="10" fillId="5" borderId="0" xfId="2" applyNumberFormat="1" applyFill="1"/>
    <xf numFmtId="0" fontId="11" fillId="0" borderId="0" xfId="1" applyFont="1" applyAlignment="1">
      <alignment horizontal="left"/>
    </xf>
    <xf numFmtId="3" fontId="9" fillId="0" borderId="0" xfId="1" applyNumberFormat="1" applyFont="1"/>
    <xf numFmtId="10" fontId="7" fillId="0" borderId="0" xfId="1" applyNumberFormat="1" applyAlignment="1">
      <alignment horizontal="center"/>
    </xf>
    <xf numFmtId="10" fontId="10" fillId="0" borderId="0" xfId="2" applyNumberFormat="1"/>
    <xf numFmtId="0" fontId="7" fillId="5" borderId="0" xfId="1" applyFill="1" applyAlignment="1">
      <alignment horizontal="center"/>
    </xf>
    <xf numFmtId="0" fontId="9" fillId="0" borderId="0" xfId="1" applyFont="1" applyAlignment="1">
      <alignment horizontal="center" wrapText="1"/>
    </xf>
    <xf numFmtId="0" fontId="7" fillId="2" borderId="0" xfId="1" applyFill="1" applyAlignment="1">
      <alignment horizontal="left"/>
    </xf>
    <xf numFmtId="3" fontId="7" fillId="2" borderId="0" xfId="1" applyNumberFormat="1" applyFill="1"/>
    <xf numFmtId="10" fontId="10" fillId="2" borderId="0" xfId="2" applyNumberFormat="1" applyFill="1"/>
    <xf numFmtId="9" fontId="10" fillId="0" borderId="0" xfId="1" applyNumberFormat="1" applyFont="1"/>
    <xf numFmtId="4" fontId="7" fillId="0" borderId="0" xfId="1" applyNumberFormat="1"/>
    <xf numFmtId="10" fontId="7" fillId="0" borderId="0" xfId="1" applyNumberFormat="1"/>
    <xf numFmtId="0" fontId="7" fillId="0" borderId="0" xfId="1" applyAlignment="1">
      <alignment horizontal="left" wrapText="1"/>
    </xf>
    <xf numFmtId="9" fontId="10" fillId="0" borderId="0" xfId="2"/>
    <xf numFmtId="3" fontId="10" fillId="0" borderId="0" xfId="3" applyNumberFormat="1"/>
    <xf numFmtId="3" fontId="10" fillId="0" borderId="0" xfId="2" applyNumberFormat="1"/>
    <xf numFmtId="3" fontId="10" fillId="0" borderId="0" xfId="1" applyNumberFormat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 applyAlignment="1">
      <alignment horizontal="left"/>
    </xf>
    <xf numFmtId="0" fontId="8" fillId="0" borderId="0" xfId="1" applyFont="1" applyAlignment="1"/>
    <xf numFmtId="3" fontId="9" fillId="0" borderId="0" xfId="1" applyNumberFormat="1" applyFont="1" applyAlignment="1">
      <alignment horizontal="center" wrapText="1"/>
    </xf>
    <xf numFmtId="0" fontId="11" fillId="0" borderId="0" xfId="1" applyFont="1"/>
    <xf numFmtId="3" fontId="10" fillId="0" borderId="0" xfId="1" applyNumberFormat="1" applyFont="1" applyAlignment="1">
      <alignment horizontal="center" wrapText="1"/>
    </xf>
    <xf numFmtId="3" fontId="10" fillId="5" borderId="0" xfId="2" applyNumberFormat="1" applyFill="1"/>
    <xf numFmtId="4" fontId="0" fillId="0" borderId="0" xfId="3" applyFont="1"/>
    <xf numFmtId="10" fontId="7" fillId="5" borderId="0" xfId="1" applyNumberFormat="1" applyFill="1"/>
    <xf numFmtId="4" fontId="7" fillId="5" borderId="0" xfId="1" applyNumberFormat="1" applyFill="1"/>
    <xf numFmtId="4" fontId="10" fillId="0" borderId="0" xfId="3"/>
    <xf numFmtId="10" fontId="7" fillId="0" borderId="0" xfId="1" applyNumberFormat="1" applyFill="1"/>
    <xf numFmtId="10" fontId="0" fillId="0" borderId="0" xfId="2" applyNumberFormat="1" applyFont="1"/>
    <xf numFmtId="9" fontId="0" fillId="0" borderId="0" xfId="2" applyFont="1"/>
    <xf numFmtId="4" fontId="0" fillId="5" borderId="0" xfId="3" applyFont="1" applyFill="1"/>
    <xf numFmtId="4" fontId="10" fillId="5" borderId="0" xfId="3" applyFill="1"/>
    <xf numFmtId="0" fontId="10" fillId="0" borderId="0" xfId="1" applyFont="1" applyAlignment="1">
      <alignment horizontal="center" wrapText="1"/>
    </xf>
    <xf numFmtId="9" fontId="10" fillId="0" borderId="0" xfId="1" applyNumberFormat="1" applyFont="1" applyAlignment="1">
      <alignment horizontal="right" wrapText="1"/>
    </xf>
    <xf numFmtId="15" fontId="7" fillId="0" borderId="0" xfId="1" applyNumberFormat="1" applyAlignment="1">
      <alignment horizontal="center"/>
    </xf>
    <xf numFmtId="2" fontId="0" fillId="5" borderId="0" xfId="2" applyNumberFormat="1" applyFont="1" applyFill="1"/>
    <xf numFmtId="15" fontId="7" fillId="0" borderId="0" xfId="1" applyNumberFormat="1"/>
    <xf numFmtId="15" fontId="7" fillId="5" borderId="0" xfId="1" applyNumberFormat="1" applyFill="1"/>
    <xf numFmtId="10" fontId="0" fillId="5" borderId="0" xfId="2" applyNumberFormat="1" applyFont="1" applyFill="1"/>
    <xf numFmtId="8" fontId="7" fillId="0" borderId="0" xfId="1" applyNumberFormat="1" applyFill="1"/>
    <xf numFmtId="0" fontId="7" fillId="0" borderId="0" xfId="1" applyAlignment="1">
      <alignment horizontal="center" wrapText="1"/>
    </xf>
    <xf numFmtId="4" fontId="7" fillId="0" borderId="0" xfId="1" applyNumberFormat="1" applyAlignment="1">
      <alignment horizontal="center"/>
    </xf>
    <xf numFmtId="0" fontId="7" fillId="5" borderId="0" xfId="1" applyFill="1" applyAlignment="1">
      <alignment horizontal="left" wrapText="1"/>
    </xf>
    <xf numFmtId="10" fontId="0" fillId="0" borderId="0" xfId="2" applyNumberFormat="1" applyFont="1" applyFill="1"/>
    <xf numFmtId="10" fontId="10" fillId="0" borderId="0" xfId="2" applyNumberFormat="1" applyFill="1"/>
    <xf numFmtId="0" fontId="9" fillId="0" borderId="0" xfId="0" applyFont="1"/>
    <xf numFmtId="0" fontId="14" fillId="0" borderId="0" xfId="8" quotePrefix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4" borderId="0" xfId="0" applyFont="1" applyFill="1" applyAlignment="1">
      <alignment horizontal="center" wrapText="1"/>
    </xf>
    <xf numFmtId="0" fontId="4" fillId="4" borderId="0" xfId="0" applyFont="1" applyFill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9" fillId="3" borderId="0" xfId="1" applyFont="1" applyFill="1" applyAlignment="1">
      <alignment horizontal="center" wrapText="1"/>
    </xf>
    <xf numFmtId="0" fontId="11" fillId="3" borderId="0" xfId="1" applyFont="1" applyFill="1" applyAlignment="1">
      <alignment horizontal="center"/>
    </xf>
    <xf numFmtId="3" fontId="9" fillId="0" borderId="0" xfId="1" applyNumberFormat="1" applyFont="1" applyAlignment="1">
      <alignment horizontal="center"/>
    </xf>
    <xf numFmtId="0" fontId="9" fillId="0" borderId="0" xfId="1" applyFont="1" applyAlignment="1">
      <alignment horizontal="left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 vertical="center" wrapText="1"/>
    </xf>
  </cellXfs>
  <cellStyles count="9">
    <cellStyle name="Comma 2" xfId="3"/>
    <cellStyle name="Currency 2" xfId="4"/>
    <cellStyle name="Hyperlink" xfId="8" builtinId="8"/>
    <cellStyle name="Normal" xfId="0" builtinId="0"/>
    <cellStyle name="Normal 2" xfId="1"/>
    <cellStyle name="Normal 2 2" xfId="7"/>
    <cellStyle name="Normal 5" xfId="5"/>
    <cellStyle name="Percent 2" xfId="2"/>
    <cellStyle name="Percent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21</xdr:row>
      <xdr:rowOff>171449</xdr:rowOff>
    </xdr:from>
    <xdr:to>
      <xdr:col>5</xdr:col>
      <xdr:colOff>642938</xdr:colOff>
      <xdr:row>28</xdr:row>
      <xdr:rowOff>23812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4343400" y="4452937"/>
          <a:ext cx="1519238" cy="10525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This is what the net income would have been if depreciation were not an expense for tax purposes.</a:t>
          </a:r>
        </a:p>
      </xdr:txBody>
    </xdr:sp>
    <xdr:clientData/>
  </xdr:twoCellAnchor>
  <xdr:twoCellAnchor>
    <xdr:from>
      <xdr:col>3</xdr:col>
      <xdr:colOff>414338</xdr:colOff>
      <xdr:row>28</xdr:row>
      <xdr:rowOff>152400</xdr:rowOff>
    </xdr:from>
    <xdr:to>
      <xdr:col>5</xdr:col>
      <xdr:colOff>623888</xdr:colOff>
      <xdr:row>32</xdr:row>
      <xdr:rowOff>119061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4338638" y="5634038"/>
          <a:ext cx="1504950" cy="6524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The effect of depreciation</a:t>
          </a:r>
          <a:r>
            <a:rPr lang="en-US" sz="1100" baseline="0"/>
            <a:t> is to add a $3,000 tax shield.</a:t>
          </a:r>
          <a:endParaRPr lang="en-US" sz="1100"/>
        </a:p>
      </xdr:txBody>
    </xdr:sp>
    <xdr:clientData/>
  </xdr:twoCellAnchor>
  <xdr:twoCellAnchor>
    <xdr:from>
      <xdr:col>3</xdr:col>
      <xdr:colOff>28575</xdr:colOff>
      <xdr:row>21</xdr:row>
      <xdr:rowOff>14287</xdr:rowOff>
    </xdr:from>
    <xdr:to>
      <xdr:col>3</xdr:col>
      <xdr:colOff>309563</xdr:colOff>
      <xdr:row>29</xdr:row>
      <xdr:rowOff>76200</xdr:rowOff>
    </xdr:to>
    <xdr:sp macro="" textlink="">
      <xdr:nvSpPr>
        <xdr:cNvPr id="7" name="Right Brace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/>
      </xdr:nvSpPr>
      <xdr:spPr>
        <a:xfrm>
          <a:off x="3952875" y="4295775"/>
          <a:ext cx="280988" cy="1433513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38100</xdr:colOff>
      <xdr:row>29</xdr:row>
      <xdr:rowOff>157162</xdr:rowOff>
    </xdr:from>
    <xdr:to>
      <xdr:col>3</xdr:col>
      <xdr:colOff>204788</xdr:colOff>
      <xdr:row>32</xdr:row>
      <xdr:rowOff>14287</xdr:rowOff>
    </xdr:to>
    <xdr:sp macro="" textlink="">
      <xdr:nvSpPr>
        <xdr:cNvPr id="8" name="Right Brac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/>
      </xdr:nvSpPr>
      <xdr:spPr>
        <a:xfrm>
          <a:off x="3962400" y="5810250"/>
          <a:ext cx="166688" cy="3714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1524000</xdr:colOff>
      <xdr:row>43</xdr:row>
      <xdr:rowOff>28575</xdr:rowOff>
    </xdr:from>
    <xdr:to>
      <xdr:col>0</xdr:col>
      <xdr:colOff>2019300</xdr:colOff>
      <xdr:row>44</xdr:row>
      <xdr:rowOff>57150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1524000" y="7905750"/>
          <a:ext cx="495300" cy="19526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=B36</a:t>
          </a:r>
        </a:p>
      </xdr:txBody>
    </xdr:sp>
    <xdr:clientData/>
  </xdr:twoCellAnchor>
  <xdr:twoCellAnchor>
    <xdr:from>
      <xdr:col>0</xdr:col>
      <xdr:colOff>2076450</xdr:colOff>
      <xdr:row>39</xdr:row>
      <xdr:rowOff>142875</xdr:rowOff>
    </xdr:from>
    <xdr:to>
      <xdr:col>1</xdr:col>
      <xdr:colOff>200025</xdr:colOff>
      <xdr:row>43</xdr:row>
      <xdr:rowOff>57150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 noChangeShapeType="1"/>
        </xdr:cNvSpPr>
      </xdr:nvSpPr>
      <xdr:spPr bwMode="auto">
        <a:xfrm flipV="1">
          <a:off x="2076450" y="7353300"/>
          <a:ext cx="695325" cy="581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14</xdr:row>
      <xdr:rowOff>19050</xdr:rowOff>
    </xdr:from>
    <xdr:to>
      <xdr:col>5</xdr:col>
      <xdr:colOff>1057275</xdr:colOff>
      <xdr:row>19</xdr:row>
      <xdr:rowOff>9525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5067300" y="2776538"/>
          <a:ext cx="2009775" cy="828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book value at the end of year 5 is the initial cost of the machine ($10,000) </a:t>
          </a:r>
          <a:r>
            <a:rPr lang="en-US" sz="1000" b="0" i="1" strike="noStrike">
              <a:solidFill>
                <a:srgbClr val="000000"/>
              </a:solidFill>
              <a:latin typeface="Arial"/>
              <a:cs typeface="Arial"/>
            </a:rPr>
            <a:t>minus</a:t>
          </a: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 the sum of all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depreciation taken on the machine through year 5 ($9,424).</a:t>
          </a:r>
        </a:p>
      </xdr:txBody>
    </xdr:sp>
    <xdr:clientData/>
  </xdr:twoCellAnchor>
  <xdr:twoCellAnchor>
    <xdr:from>
      <xdr:col>1</xdr:col>
      <xdr:colOff>828675</xdr:colOff>
      <xdr:row>16</xdr:row>
      <xdr:rowOff>57150</xdr:rowOff>
    </xdr:from>
    <xdr:to>
      <xdr:col>4</xdr:col>
      <xdr:colOff>57150</xdr:colOff>
      <xdr:row>18</xdr:row>
      <xdr:rowOff>76200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SpPr>
          <a:spLocks noChangeShapeType="1"/>
        </xdr:cNvSpPr>
      </xdr:nvSpPr>
      <xdr:spPr bwMode="auto">
        <a:xfrm flipH="1">
          <a:off x="3086100" y="3138488"/>
          <a:ext cx="1971675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133349</xdr:colOff>
      <xdr:row>20</xdr:row>
      <xdr:rowOff>85725</xdr:rowOff>
    </xdr:from>
    <xdr:to>
      <xdr:col>5</xdr:col>
      <xdr:colOff>1057274</xdr:colOff>
      <xdr:row>24</xdr:row>
      <xdr:rowOff>66675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5133974" y="3843338"/>
          <a:ext cx="1943100" cy="628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net cash flow from the terminal value equals the end-year 5 sale price minus applicable taxes.</a:t>
          </a:r>
        </a:p>
      </xdr:txBody>
    </xdr:sp>
    <xdr:clientData/>
  </xdr:twoCellAnchor>
  <xdr:twoCellAnchor>
    <xdr:from>
      <xdr:col>1</xdr:col>
      <xdr:colOff>838200</xdr:colOff>
      <xdr:row>21</xdr:row>
      <xdr:rowOff>142875</xdr:rowOff>
    </xdr:from>
    <xdr:to>
      <xdr:col>4</xdr:col>
      <xdr:colOff>152400</xdr:colOff>
      <xdr:row>23</xdr:row>
      <xdr:rowOff>47625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3095625" y="4062413"/>
          <a:ext cx="2057400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SpPr>
          <a:spLocks/>
        </xdr:cNvSpPr>
      </xdr:nvSpPr>
      <xdr:spPr bwMode="auto">
        <a:xfrm>
          <a:off x="4705350" y="261461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14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SpPr txBox="1">
          <a:spLocks noChangeArrowheads="1"/>
        </xdr:cNvSpPr>
      </xdr:nvSpPr>
      <xdr:spPr bwMode="auto">
        <a:xfrm>
          <a:off x="4705350" y="2614613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is what the net income would have been if depreciation were not an expense for tax purposes.</a:t>
          </a:r>
        </a:p>
      </xdr:txBody>
    </xdr:sp>
    <xdr:clientData/>
  </xdr:twoCellAnchor>
  <xdr:twoCellAnchor>
    <xdr:from>
      <xdr:col>3</xdr:col>
      <xdr:colOff>0</xdr:colOff>
      <xdr:row>14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SpPr>
          <a:spLocks/>
        </xdr:cNvSpPr>
      </xdr:nvSpPr>
      <xdr:spPr bwMode="auto">
        <a:xfrm>
          <a:off x="4705350" y="2614613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17</xdr:row>
      <xdr:rowOff>93345</xdr:rowOff>
    </xdr:from>
    <xdr:to>
      <xdr:col>2</xdr:col>
      <xdr:colOff>144780</xdr:colOff>
      <xdr:row>35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SpPr txBox="1"/>
      </xdr:nvSpPr>
      <xdr:spPr>
        <a:xfrm>
          <a:off x="342900" y="3168015"/>
          <a:ext cx="1935480" cy="78295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Note:  Some rows have been hidden.  For full version, see the book's website.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15</xdr:row>
      <xdr:rowOff>0</xdr:rowOff>
    </xdr:from>
    <xdr:to>
      <xdr:col>4</xdr:col>
      <xdr:colOff>600075</xdr:colOff>
      <xdr:row>16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SpPr txBox="1">
          <a:spLocks noChangeArrowheads="1"/>
        </xdr:cNvSpPr>
      </xdr:nvSpPr>
      <xdr:spPr bwMode="auto">
        <a:xfrm>
          <a:off x="5210175" y="3162300"/>
          <a:ext cx="1285875" cy="20478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=$B$3*(1+$B$2)^A9</a:t>
          </a:r>
        </a:p>
      </xdr:txBody>
    </xdr:sp>
    <xdr:clientData/>
  </xdr:twoCellAnchor>
  <xdr:twoCellAnchor>
    <xdr:from>
      <xdr:col>2</xdr:col>
      <xdr:colOff>1019175</xdr:colOff>
      <xdr:row>8</xdr:row>
      <xdr:rowOff>114300</xdr:rowOff>
    </xdr:from>
    <xdr:to>
      <xdr:col>3</xdr:col>
      <xdr:colOff>314325</xdr:colOff>
      <xdr:row>14</xdr:row>
      <xdr:rowOff>152400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33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4314825" y="2143125"/>
          <a:ext cx="101917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16</xdr:row>
      <xdr:rowOff>0</xdr:rowOff>
    </xdr:from>
    <xdr:to>
      <xdr:col>4</xdr:col>
      <xdr:colOff>600075</xdr:colOff>
      <xdr:row>17</xdr:row>
      <xdr:rowOff>38100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SpPr txBox="1">
          <a:spLocks noChangeArrowheads="1"/>
        </xdr:cNvSpPr>
      </xdr:nvSpPr>
      <xdr:spPr bwMode="auto">
        <a:xfrm>
          <a:off x="5210175" y="3605213"/>
          <a:ext cx="1285875" cy="20478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=$B$3*(1+$B$4)^A10</a:t>
          </a:r>
        </a:p>
        <a:p>
          <a:pPr algn="l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1019175</xdr:colOff>
      <xdr:row>9</xdr:row>
      <xdr:rowOff>114300</xdr:rowOff>
    </xdr:from>
    <xdr:to>
      <xdr:col>3</xdr:col>
      <xdr:colOff>314325</xdr:colOff>
      <xdr:row>15</xdr:row>
      <xdr:rowOff>152400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4314825" y="2586038"/>
          <a:ext cx="1019175" cy="1009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sqref="A1:B1"/>
    </sheetView>
  </sheetViews>
  <sheetFormatPr defaultRowHeight="15" x14ac:dyDescent="0.25"/>
  <cols>
    <col min="1" max="1" width="19.5703125" bestFit="1" customWidth="1"/>
    <col min="2" max="2" width="91" bestFit="1" customWidth="1"/>
  </cols>
  <sheetData>
    <row r="1" spans="1:2" ht="14.45" x14ac:dyDescent="0.55000000000000004">
      <c r="A1" s="89" t="s">
        <v>194</v>
      </c>
      <c r="B1" s="89"/>
    </row>
    <row r="2" spans="1:2" ht="14.45" x14ac:dyDescent="0.55000000000000004">
      <c r="A2" s="87" t="s">
        <v>166</v>
      </c>
      <c r="B2" s="87" t="s">
        <v>167</v>
      </c>
    </row>
    <row r="3" spans="1:2" ht="14.45" x14ac:dyDescent="0.55000000000000004">
      <c r="A3" s="88" t="s">
        <v>173</v>
      </c>
      <c r="B3" t="str">
        <f ca="1">INDIRECT(ADDRESS(1,1,1,1,A3))</f>
        <v>PIZZA PARLOR CASH FLOW</v>
      </c>
    </row>
    <row r="4" spans="1:2" ht="14.45" x14ac:dyDescent="0.55000000000000004">
      <c r="A4" s="88" t="s">
        <v>174</v>
      </c>
      <c r="B4" t="str">
        <f t="shared" ref="B4:B23" ca="1" si="0">INDIRECT(ADDRESS(1,1,1,1,A4))</f>
        <v>PIZZA PARLOR CASH FLOW
as seen by the accountant</v>
      </c>
    </row>
    <row r="5" spans="1:2" ht="14.45" x14ac:dyDescent="0.55000000000000004">
      <c r="A5" s="88" t="s">
        <v>175</v>
      </c>
      <c r="B5" t="str">
        <f t="shared" ca="1" si="0"/>
        <v>IGNORE SUNK COSTS</v>
      </c>
    </row>
    <row r="6" spans="1:2" ht="14.45" x14ac:dyDescent="0.55000000000000004">
      <c r="A6" s="88" t="s">
        <v>176</v>
      </c>
      <c r="B6" t="str">
        <f t="shared" ca="1" si="0"/>
        <v>SALLY &amp; DAVE'S CONDO -- DEPRECIATION</v>
      </c>
    </row>
    <row r="7" spans="1:2" ht="14.45" x14ac:dyDescent="0.55000000000000004">
      <c r="A7" s="88" t="s">
        <v>177</v>
      </c>
      <c r="B7" t="str">
        <f t="shared" ca="1" si="0"/>
        <v>SALLY &amp; DAVE'S CONDO--PRELIMINARY VALUATION</v>
      </c>
    </row>
    <row r="8" spans="1:2" ht="14.45" x14ac:dyDescent="0.55000000000000004">
      <c r="A8" s="88" t="s">
        <v>178</v>
      </c>
      <c r="B8" t="str">
        <f t="shared" ca="1" si="0"/>
        <v>SALLY &amp; DAVE'S CONDO:  PROFITABILITY AND TERMINAL VALUE</v>
      </c>
    </row>
    <row r="9" spans="1:2" x14ac:dyDescent="0.25">
      <c r="A9" s="88" t="s">
        <v>179</v>
      </c>
      <c r="B9" t="str">
        <f t="shared" ca="1" si="0"/>
        <v>BUYING A MACHINE--NPV ANALYSIS
with salvage value</v>
      </c>
    </row>
    <row r="10" spans="1:2" x14ac:dyDescent="0.25">
      <c r="A10" s="88" t="s">
        <v>180</v>
      </c>
      <c r="B10" t="str">
        <f t="shared" ca="1" si="0"/>
        <v>BUYING A MACHINE--NPV ANALYSIS WITH SALVAGE VALUE
Machine sold at end of year 7</v>
      </c>
    </row>
    <row r="11" spans="1:2" x14ac:dyDescent="0.25">
      <c r="A11" s="88" t="s">
        <v>181</v>
      </c>
      <c r="B11" t="str">
        <f t="shared" ca="1" si="0"/>
        <v>BUYING A MACHINE--NPV ANALYSIS
with salvage value
Machine sold at end of year 7</v>
      </c>
    </row>
    <row r="12" spans="1:2" x14ac:dyDescent="0.25">
      <c r="A12" s="88" t="s">
        <v>182</v>
      </c>
      <c r="B12" t="str">
        <f t="shared" ca="1" si="0"/>
        <v>CAPITAL BUDGETING WITH ACCELERATED DEPRECIATION</v>
      </c>
    </row>
    <row r="13" spans="1:2" x14ac:dyDescent="0.25">
      <c r="A13" s="88" t="s">
        <v>183</v>
      </c>
      <c r="B13" t="str">
        <f t="shared" ca="1" si="0"/>
        <v>DON'T FORGET THE COST OF
 FOREGONE OPPORTUNITIES</v>
      </c>
    </row>
    <row r="14" spans="1:2" x14ac:dyDescent="0.25">
      <c r="A14" s="88" t="s">
        <v>184</v>
      </c>
      <c r="B14" t="str">
        <f t="shared" ca="1" si="0"/>
        <v>SELL THE PHOTOCOPIER OR FIX IT UP?</v>
      </c>
    </row>
    <row r="15" spans="1:2" x14ac:dyDescent="0.25">
      <c r="A15" s="88" t="s">
        <v>185</v>
      </c>
      <c r="B15" t="str">
        <f t="shared" ca="1" si="0"/>
        <v>NPV, CASH FLOWS OCCUR 
AT YEAR END</v>
      </c>
    </row>
    <row r="16" spans="1:2" x14ac:dyDescent="0.25">
      <c r="A16" s="88" t="s">
        <v>186</v>
      </c>
      <c r="B16" t="str">
        <f t="shared" ca="1" si="0"/>
        <v>NPV, CASH FLOWS OCCUR 
EACH QUARTER</v>
      </c>
    </row>
    <row r="17" spans="1:2" x14ac:dyDescent="0.25">
      <c r="A17" s="88" t="s">
        <v>187</v>
      </c>
      <c r="B17" t="str">
        <f t="shared" ca="1" si="0"/>
        <v>MID-YEAR DISCOUNTING</v>
      </c>
    </row>
    <row r="18" spans="1:2" x14ac:dyDescent="0.25">
      <c r="A18" s="88" t="s">
        <v>188</v>
      </c>
      <c r="B18" t="str">
        <f t="shared" ca="1" si="0"/>
        <v>CALCULATING THE MID-YEAR
NPV WITH EXCEL'S XNPV FUNCTION</v>
      </c>
    </row>
    <row r="19" spans="1:2" x14ac:dyDescent="0.25">
      <c r="A19" s="88" t="s">
        <v>189</v>
      </c>
      <c r="B19" t="str">
        <f t="shared" ca="1" si="0"/>
        <v>CALCULATING THE IRR OF MID-YEAR CASH FLOWS WITH EXCEL'S XIRR FUNCTION</v>
      </c>
    </row>
    <row r="20" spans="1:2" x14ac:dyDescent="0.25">
      <c r="A20" s="88" t="s">
        <v>190</v>
      </c>
      <c r="B20" t="str">
        <f t="shared" ca="1" si="0"/>
        <v>SALLY &amp; DAVE'S CONDO
Example from Section 6.3</v>
      </c>
    </row>
    <row r="21" spans="1:2" x14ac:dyDescent="0.25">
      <c r="A21" s="88" t="s">
        <v>191</v>
      </c>
      <c r="B21" t="str">
        <f t="shared" ca="1" si="0"/>
        <v>SALLY &amp; DAVE'S CONDO--INCORPORATING MID-YEAR CASH FLOWS</v>
      </c>
    </row>
    <row r="22" spans="1:2" x14ac:dyDescent="0.25">
      <c r="A22" s="88" t="s">
        <v>192</v>
      </c>
      <c r="B22" t="str">
        <f t="shared" ca="1" si="0"/>
        <v>CAPITAL BUDGETING FOR THE WIDGET MACHINE</v>
      </c>
    </row>
    <row r="23" spans="1:2" x14ac:dyDescent="0.25">
      <c r="A23" s="88" t="s">
        <v>193</v>
      </c>
      <c r="B23" t="str">
        <f t="shared" ca="1" si="0"/>
        <v>CAPITAL BUDGETING FOR THE WIDGET MACHINE
Widget prices increase at a different rate than the inflation rate</v>
      </c>
    </row>
  </sheetData>
  <mergeCells count="1">
    <mergeCell ref="A1:B1"/>
  </mergeCells>
  <hyperlinks>
    <hyperlink ref="A3" location="'Page 176'!A1" display="'Page 176'!A1"/>
    <hyperlink ref="A4" location="'Page 177'!A1" display="'Page 177'!A1"/>
    <hyperlink ref="A5" location="'Page 178'!A1" display="'Page 178'!A1"/>
    <hyperlink ref="A6" location="'PageS 179, 181 and 182'!A1" display="'PageS 179, 181 and 182'!A1"/>
    <hyperlink ref="A7" location="'Page 183'!A1" display="'Page 183'!A1"/>
    <hyperlink ref="A8" location="'Pages 184+185'!A1" display="'Pages 184+185'!A1"/>
    <hyperlink ref="A9" location="'Page 188'!A1" display="'Page 188'!A1"/>
    <hyperlink ref="A10" location="'Page 189'!A1" display="'Page 189'!A1"/>
    <hyperlink ref="A11" location="'Page 190'!A1" display="'Page 190'!A1"/>
    <hyperlink ref="A12" location="'Page 191'!A1" display="'Page 191'!A1"/>
    <hyperlink ref="A13" location="'Pages 192-193'!A1" display="'Pages 192-193'!A1"/>
    <hyperlink ref="A14" location="'Page 195'!A1" display="'Page 195'!A1"/>
    <hyperlink ref="A15" location="'Page 196'!A1" display="'Page 196'!A1"/>
    <hyperlink ref="A16" location="'Page 197'!A1" display="'Page 197'!A1"/>
    <hyperlink ref="A17" location="'Page 198'!A1" display="'Page 198'!A1"/>
    <hyperlink ref="A18" location="'Page 199'!A1" display="'Page 199'!A1"/>
    <hyperlink ref="A19" location="'Page 202'!A1" display="'Page 202'!A1"/>
    <hyperlink ref="A20" location="'Page 204'!A1" display="'Page 204'!A1"/>
    <hyperlink ref="A21" location="'Page 205'!A1" display="'Page 205'!A1"/>
    <hyperlink ref="A22" location="'Page 207'!A1" display="'Page 207'!A1"/>
    <hyperlink ref="A23" location="'Page 208'!A1" display="'Page 208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C8"/>
  <sheetViews>
    <sheetView workbookViewId="0">
      <selection activeCell="D14" sqref="D14"/>
    </sheetView>
  </sheetViews>
  <sheetFormatPr defaultColWidth="9.140625" defaultRowHeight="14.25" x14ac:dyDescent="0.2"/>
  <cols>
    <col min="1" max="1" width="18" style="1" bestFit="1" customWidth="1"/>
    <col min="2" max="2" width="9.140625" style="1"/>
    <col min="3" max="3" width="9" style="1" bestFit="1" customWidth="1"/>
    <col min="4" max="16384" width="9.140625" style="1"/>
  </cols>
  <sheetData>
    <row r="1" spans="1:3" ht="15" x14ac:dyDescent="0.5">
      <c r="A1" s="90" t="s">
        <v>0</v>
      </c>
      <c r="B1" s="90"/>
      <c r="C1" s="90"/>
    </row>
    <row r="2" spans="1:3" ht="13.9" x14ac:dyDescent="0.45">
      <c r="A2" s="1" t="s">
        <v>1</v>
      </c>
      <c r="B2" s="1">
        <v>500</v>
      </c>
    </row>
    <row r="3" spans="1:3" ht="13.9" x14ac:dyDescent="0.45">
      <c r="A3" s="1" t="s">
        <v>2</v>
      </c>
      <c r="B3" s="1">
        <v>300</v>
      </c>
    </row>
    <row r="4" spans="1:3" ht="13.9" x14ac:dyDescent="0.45">
      <c r="A4" s="5" t="s">
        <v>3</v>
      </c>
      <c r="B4" s="5">
        <f>B2-B3</f>
        <v>200</v>
      </c>
      <c r="C4" s="1" t="e">
        <f ca="1">"&lt;-- "&amp;_xlfn.FORMULATEXT(B4)</f>
        <v>#NAME?</v>
      </c>
    </row>
    <row r="6" spans="1:3" ht="13.9" x14ac:dyDescent="0.45">
      <c r="A6" s="1" t="s">
        <v>4</v>
      </c>
      <c r="B6" s="1">
        <v>400</v>
      </c>
    </row>
    <row r="7" spans="1:3" ht="13.9" x14ac:dyDescent="0.45">
      <c r="A7" s="1" t="s">
        <v>5</v>
      </c>
      <c r="B7" s="1">
        <v>100</v>
      </c>
    </row>
    <row r="8" spans="1:3" ht="13.9" x14ac:dyDescent="0.45">
      <c r="A8" s="5" t="s">
        <v>6</v>
      </c>
      <c r="B8" s="5">
        <f>B6-B7</f>
        <v>300</v>
      </c>
      <c r="C8" s="1" t="e">
        <f ca="1">"&lt;-- "&amp;_xlfn.FORMULATEXT(B8)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C10"/>
  <sheetViews>
    <sheetView workbookViewId="0">
      <selection activeCell="C15" sqref="C15"/>
    </sheetView>
  </sheetViews>
  <sheetFormatPr defaultRowHeight="15" x14ac:dyDescent="0.25"/>
  <cols>
    <col min="1" max="1" width="28.42578125" bestFit="1" customWidth="1"/>
    <col min="3" max="3" width="26.42578125" bestFit="1" customWidth="1"/>
  </cols>
  <sheetData>
    <row r="1" spans="1:3" ht="31.9" customHeight="1" x14ac:dyDescent="0.55000000000000004">
      <c r="A1" s="91" t="s">
        <v>7</v>
      </c>
      <c r="B1" s="92"/>
      <c r="C1" s="92"/>
    </row>
    <row r="2" spans="1:3" ht="14.45" x14ac:dyDescent="0.55000000000000004">
      <c r="A2" s="1" t="s">
        <v>1</v>
      </c>
      <c r="B2" s="1">
        <v>500</v>
      </c>
      <c r="C2" s="1"/>
    </row>
    <row r="3" spans="1:3" ht="14.45" x14ac:dyDescent="0.55000000000000004">
      <c r="A3" s="1" t="s">
        <v>2</v>
      </c>
      <c r="B3" s="1">
        <v>300</v>
      </c>
      <c r="C3" s="1"/>
    </row>
    <row r="4" spans="1:3" ht="14.45" x14ac:dyDescent="0.55000000000000004">
      <c r="A4" s="5" t="s">
        <v>3</v>
      </c>
      <c r="B4" s="5">
        <f>B2-B3</f>
        <v>200</v>
      </c>
      <c r="C4" s="1" t="e">
        <f ca="1">"&lt;-- "&amp;_xlfn.FORMULATEXT(B4)</f>
        <v>#NAME?</v>
      </c>
    </row>
    <row r="5" spans="1:3" ht="14.45" x14ac:dyDescent="0.55000000000000004">
      <c r="A5" s="1"/>
      <c r="B5" s="1"/>
      <c r="C5" s="1"/>
    </row>
    <row r="6" spans="1:3" ht="14.45" x14ac:dyDescent="0.55000000000000004">
      <c r="A6" s="1" t="s">
        <v>8</v>
      </c>
      <c r="B6" s="1">
        <v>100</v>
      </c>
      <c r="C6" s="1" t="s">
        <v>165</v>
      </c>
    </row>
    <row r="7" spans="1:3" ht="14.45" x14ac:dyDescent="0.55000000000000004">
      <c r="A7" s="1" t="s">
        <v>164</v>
      </c>
      <c r="B7" s="1">
        <v>200</v>
      </c>
      <c r="C7" s="1" t="s">
        <v>9</v>
      </c>
    </row>
    <row r="8" spans="1:3" x14ac:dyDescent="0.25">
      <c r="A8" s="5" t="s">
        <v>10</v>
      </c>
      <c r="B8" s="5">
        <f>-B6+B7</f>
        <v>100</v>
      </c>
      <c r="C8" s="1" t="e">
        <f ca="1">"&lt;-- "&amp;_xlfn.FORMULATEXT(B8)</f>
        <v>#NAME?</v>
      </c>
    </row>
    <row r="9" spans="1:3" x14ac:dyDescent="0.25">
      <c r="A9" s="1"/>
      <c r="B9" s="1"/>
      <c r="C9" s="1"/>
    </row>
    <row r="10" spans="1:3" ht="29.25" x14ac:dyDescent="0.25">
      <c r="A10" s="6" t="s">
        <v>11</v>
      </c>
      <c r="B10" s="5">
        <f>B4+B8</f>
        <v>300</v>
      </c>
      <c r="C10" s="1" t="e">
        <f ca="1">"&lt;-- "&amp;_xlfn.FORMULATEXT(B10)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D8"/>
  <sheetViews>
    <sheetView workbookViewId="0">
      <selection sqref="A1:D1"/>
    </sheetView>
  </sheetViews>
  <sheetFormatPr defaultColWidth="9.140625" defaultRowHeight="14.25" x14ac:dyDescent="0.2"/>
  <cols>
    <col min="1" max="1" width="17.42578125" style="3" bestFit="1" customWidth="1"/>
    <col min="2" max="2" width="12.140625" style="3" customWidth="1"/>
    <col min="3" max="3" width="10.5703125" style="3" customWidth="1"/>
    <col min="4" max="4" width="15" style="9" bestFit="1" customWidth="1"/>
    <col min="5" max="16384" width="9.140625" style="3"/>
  </cols>
  <sheetData>
    <row r="1" spans="1:4" ht="17.649999999999999" x14ac:dyDescent="0.6">
      <c r="A1" s="93" t="s">
        <v>12</v>
      </c>
      <c r="B1" s="93"/>
      <c r="C1" s="93"/>
      <c r="D1" s="93"/>
    </row>
    <row r="2" spans="1:4" ht="13.9" x14ac:dyDescent="0.45">
      <c r="A2" s="3" t="s">
        <v>13</v>
      </c>
      <c r="B2" s="7">
        <v>100000</v>
      </c>
    </row>
    <row r="3" spans="1:4" ht="13.9" x14ac:dyDescent="0.45">
      <c r="A3" s="3" t="s">
        <v>14</v>
      </c>
      <c r="B3" s="7">
        <v>20000</v>
      </c>
    </row>
    <row r="5" spans="1:4" s="2" customFormat="1" ht="42.4" x14ac:dyDescent="0.5">
      <c r="A5" s="2" t="s">
        <v>15</v>
      </c>
      <c r="B5" s="2" t="s">
        <v>16</v>
      </c>
      <c r="C5" s="2" t="s">
        <v>17</v>
      </c>
      <c r="D5" s="10"/>
    </row>
    <row r="6" spans="1:4" ht="13.9" x14ac:dyDescent="0.45">
      <c r="A6" s="3">
        <v>0</v>
      </c>
      <c r="B6" s="7">
        <f>-(B2+B3)</f>
        <v>-120000</v>
      </c>
      <c r="C6" s="7">
        <f>-B3</f>
        <v>-20000</v>
      </c>
    </row>
    <row r="7" spans="1:4" x14ac:dyDescent="0.2">
      <c r="A7" s="3">
        <v>1</v>
      </c>
      <c r="B7" s="7">
        <v>90000</v>
      </c>
      <c r="C7" s="7">
        <f>90000</f>
        <v>90000</v>
      </c>
    </row>
    <row r="8" spans="1:4" ht="15" x14ac:dyDescent="0.25">
      <c r="A8" s="4" t="s">
        <v>18</v>
      </c>
      <c r="B8" s="8">
        <f>IRR(B6:B7)</f>
        <v>-0.25000000000000011</v>
      </c>
      <c r="C8" s="8">
        <f>IRR(C6:C7)</f>
        <v>3.5</v>
      </c>
      <c r="D8" s="9" t="e">
        <f ca="1">"&lt;-- "&amp;_xlfn.FORMULATEXT(C8)</f>
        <v>#NAME?</v>
      </c>
    </row>
  </sheetData>
  <mergeCells count="1">
    <mergeCell ref="A1:D1"/>
  </mergeCells>
  <printOptions headings="1" gridLines="1"/>
  <pageMargins left="0.7" right="0.7" top="0.75" bottom="0.75" header="0.3" footer="0.3"/>
  <pageSetup orientation="portrait" verticalDpi="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C32"/>
  <sheetViews>
    <sheetView workbookViewId="0">
      <selection activeCell="A2" sqref="A2"/>
    </sheetView>
  </sheetViews>
  <sheetFormatPr defaultColWidth="9.140625" defaultRowHeight="14.25" x14ac:dyDescent="0.2"/>
  <cols>
    <col min="1" max="1" width="29.140625" style="1" customWidth="1"/>
    <col min="2" max="2" width="9.140625" style="1"/>
    <col min="3" max="3" width="16.7109375" style="1" bestFit="1" customWidth="1"/>
    <col min="4" max="16384" width="9.140625" style="1"/>
  </cols>
  <sheetData>
    <row r="1" spans="1:3" ht="17.649999999999999" x14ac:dyDescent="0.6">
      <c r="A1" s="93" t="s">
        <v>168</v>
      </c>
      <c r="B1" s="93"/>
      <c r="C1" s="93"/>
    </row>
    <row r="2" spans="1:3" ht="13.9" x14ac:dyDescent="0.45">
      <c r="A2" s="11" t="s">
        <v>19</v>
      </c>
      <c r="B2" s="12">
        <v>100000</v>
      </c>
    </row>
    <row r="3" spans="1:3" ht="13.9" x14ac:dyDescent="0.45">
      <c r="A3" s="11" t="s">
        <v>20</v>
      </c>
      <c r="B3" s="13">
        <v>0.3</v>
      </c>
    </row>
    <row r="5" spans="1:3" ht="14.1" x14ac:dyDescent="0.5">
      <c r="A5" s="14" t="s">
        <v>21</v>
      </c>
    </row>
    <row r="6" spans="1:3" ht="13.9" x14ac:dyDescent="0.45">
      <c r="A6" s="11" t="s">
        <v>22</v>
      </c>
      <c r="B6" s="12">
        <v>24000</v>
      </c>
    </row>
    <row r="7" spans="1:3" ht="13.9" x14ac:dyDescent="0.45">
      <c r="A7" s="11" t="s">
        <v>23</v>
      </c>
    </row>
    <row r="8" spans="1:3" ht="13.9" x14ac:dyDescent="0.45">
      <c r="A8" s="15" t="s">
        <v>24</v>
      </c>
      <c r="B8" s="12">
        <v>-1500</v>
      </c>
    </row>
    <row r="9" spans="1:3" x14ac:dyDescent="0.2">
      <c r="A9" s="15" t="s">
        <v>25</v>
      </c>
      <c r="B9" s="12">
        <v>-1000</v>
      </c>
    </row>
    <row r="10" spans="1:3" x14ac:dyDescent="0.2">
      <c r="A10" s="11" t="s">
        <v>26</v>
      </c>
      <c r="B10" s="12">
        <v>-10000</v>
      </c>
    </row>
    <row r="11" spans="1:3" x14ac:dyDescent="0.2">
      <c r="A11" s="11" t="s">
        <v>27</v>
      </c>
      <c r="B11" s="12">
        <f>SUM(B6:B10)</f>
        <v>11500</v>
      </c>
      <c r="C11" s="1" t="e">
        <f ca="1">"&lt;-- "&amp;_xlfn.FORMULATEXT(B11)</f>
        <v>#NAME?</v>
      </c>
    </row>
    <row r="12" spans="1:3" x14ac:dyDescent="0.2">
      <c r="A12" s="11" t="s">
        <v>28</v>
      </c>
      <c r="B12" s="12">
        <f>-B3*B11</f>
        <v>-3450</v>
      </c>
      <c r="C12" s="1" t="e">
        <f ca="1">"&lt;-- "&amp;_xlfn.FORMULATEXT(B12)</f>
        <v>#NAME?</v>
      </c>
    </row>
    <row r="13" spans="1:3" x14ac:dyDescent="0.2">
      <c r="A13" s="16" t="s">
        <v>29</v>
      </c>
      <c r="B13" s="17">
        <f>B11+B12</f>
        <v>8050</v>
      </c>
      <c r="C13" s="1" t="e">
        <f ca="1">"&lt;-- "&amp;_xlfn.FORMULATEXT(B13)</f>
        <v>#NAME?</v>
      </c>
    </row>
    <row r="16" spans="1:3" ht="27" customHeight="1" x14ac:dyDescent="0.25">
      <c r="A16" s="94" t="s">
        <v>32</v>
      </c>
      <c r="B16" s="94"/>
      <c r="C16" s="94"/>
    </row>
    <row r="17" spans="1:3" x14ac:dyDescent="0.2">
      <c r="A17" s="18" t="s">
        <v>29</v>
      </c>
      <c r="B17" s="12">
        <f>B13</f>
        <v>8050</v>
      </c>
      <c r="C17" s="1" t="e">
        <f ca="1">"&lt;-- "&amp;_xlfn.FORMULATEXT(B17)</f>
        <v>#NAME?</v>
      </c>
    </row>
    <row r="18" spans="1:3" x14ac:dyDescent="0.2">
      <c r="A18" s="18" t="s">
        <v>31</v>
      </c>
      <c r="B18" s="12">
        <f>-B10</f>
        <v>10000</v>
      </c>
      <c r="C18" s="1" t="e">
        <f ca="1">"&lt;-- "&amp;_xlfn.FORMULATEXT(B18)</f>
        <v>#NAME?</v>
      </c>
    </row>
    <row r="19" spans="1:3" x14ac:dyDescent="0.2">
      <c r="A19" s="18" t="s">
        <v>30</v>
      </c>
      <c r="B19" s="12">
        <f>B17+B18</f>
        <v>18050</v>
      </c>
      <c r="C19" s="1" t="e">
        <f ca="1">"&lt;-- "&amp;_xlfn.FORMULATEXT(B19)</f>
        <v>#NAME?</v>
      </c>
    </row>
    <row r="21" spans="1:3" ht="49.15" customHeight="1" x14ac:dyDescent="0.2">
      <c r="A21" s="95" t="s">
        <v>33</v>
      </c>
      <c r="B21" s="95"/>
      <c r="C21" s="95"/>
    </row>
    <row r="22" spans="1:3" x14ac:dyDescent="0.2">
      <c r="A22" s="18" t="s">
        <v>22</v>
      </c>
      <c r="B22" s="12">
        <f>B6</f>
        <v>24000</v>
      </c>
    </row>
    <row r="23" spans="1:3" x14ac:dyDescent="0.2">
      <c r="A23" s="11" t="s">
        <v>23</v>
      </c>
      <c r="B23" s="12"/>
    </row>
    <row r="24" spans="1:3" x14ac:dyDescent="0.2">
      <c r="A24" s="15" t="s">
        <v>24</v>
      </c>
      <c r="B24" s="12">
        <f>-1500</f>
        <v>-1500</v>
      </c>
    </row>
    <row r="25" spans="1:3" x14ac:dyDescent="0.2">
      <c r="A25" s="15" t="s">
        <v>25</v>
      </c>
      <c r="B25" s="12">
        <v>-1000</v>
      </c>
    </row>
    <row r="26" spans="1:3" x14ac:dyDescent="0.2">
      <c r="A26" s="11" t="s">
        <v>26</v>
      </c>
      <c r="B26" s="12">
        <v>0</v>
      </c>
    </row>
    <row r="27" spans="1:3" x14ac:dyDescent="0.2">
      <c r="A27" s="11" t="s">
        <v>27</v>
      </c>
      <c r="B27" s="12">
        <f>SUM(B22:B26)</f>
        <v>21500</v>
      </c>
      <c r="C27" s="1" t="e">
        <f ca="1">"&lt;-- "&amp;_xlfn.FORMULATEXT(B27)</f>
        <v>#NAME?</v>
      </c>
    </row>
    <row r="28" spans="1:3" x14ac:dyDescent="0.2">
      <c r="A28" s="11" t="s">
        <v>28</v>
      </c>
      <c r="B28" s="12">
        <f>-B3*B27</f>
        <v>-6450</v>
      </c>
      <c r="C28" s="1" t="e">
        <f ca="1">"&lt;-- "&amp;_xlfn.FORMULATEXT(B28)</f>
        <v>#NAME?</v>
      </c>
    </row>
    <row r="29" spans="1:3" x14ac:dyDescent="0.2">
      <c r="A29" s="19" t="s">
        <v>35</v>
      </c>
      <c r="B29" s="12">
        <f>SUM(B27:B28)</f>
        <v>15050</v>
      </c>
      <c r="C29" s="1" t="e">
        <f ca="1">"&lt;-- "&amp;_xlfn.FORMULATEXT(B29)</f>
        <v>#NAME?</v>
      </c>
    </row>
    <row r="31" spans="1:3" x14ac:dyDescent="0.2">
      <c r="A31" s="18" t="s">
        <v>34</v>
      </c>
      <c r="B31" s="12">
        <f>B3*10000</f>
        <v>3000</v>
      </c>
      <c r="C31" s="1" t="e">
        <f ca="1">"&lt;-- "&amp;_xlfn.FORMULATEXT(B31)</f>
        <v>#NAME?</v>
      </c>
    </row>
    <row r="32" spans="1:3" x14ac:dyDescent="0.2">
      <c r="A32" s="19" t="s">
        <v>30</v>
      </c>
      <c r="B32" s="17">
        <f>B29+B31</f>
        <v>18050</v>
      </c>
      <c r="C32" s="1" t="e">
        <f ca="1">"&lt;-- "&amp;_xlfn.FORMULATEXT(B32)</f>
        <v>#NAME?</v>
      </c>
    </row>
  </sheetData>
  <mergeCells count="3">
    <mergeCell ref="A1:C1"/>
    <mergeCell ref="A16:C16"/>
    <mergeCell ref="A21:C2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C18"/>
  <sheetViews>
    <sheetView workbookViewId="0">
      <selection sqref="A1:C18"/>
    </sheetView>
  </sheetViews>
  <sheetFormatPr defaultColWidth="9.140625" defaultRowHeight="14.25" x14ac:dyDescent="0.2"/>
  <cols>
    <col min="1" max="1" width="33.28515625" style="1" customWidth="1"/>
    <col min="2" max="2" width="9.85546875" style="1" bestFit="1" customWidth="1"/>
    <col min="3" max="3" width="24.140625" style="1" bestFit="1" customWidth="1"/>
    <col min="4" max="16384" width="9.140625" style="1"/>
  </cols>
  <sheetData>
    <row r="1" spans="1:3" ht="17.649999999999999" x14ac:dyDescent="0.6">
      <c r="A1" s="93" t="s">
        <v>36</v>
      </c>
      <c r="B1" s="93"/>
      <c r="C1" s="93"/>
    </row>
    <row r="2" spans="1:3" ht="13.9" x14ac:dyDescent="0.45">
      <c r="A2" s="18" t="s">
        <v>37</v>
      </c>
      <c r="B2" s="13">
        <v>0.12</v>
      </c>
    </row>
    <row r="4" spans="1:3" s="14" customFormat="1" ht="14.1" x14ac:dyDescent="0.5">
      <c r="A4" s="20" t="s">
        <v>15</v>
      </c>
      <c r="B4" s="14" t="s">
        <v>30</v>
      </c>
    </row>
    <row r="5" spans="1:3" ht="13.9" x14ac:dyDescent="0.45">
      <c r="A5" s="3">
        <v>0</v>
      </c>
      <c r="B5" s="1">
        <f>-100000</f>
        <v>-100000</v>
      </c>
    </row>
    <row r="6" spans="1:3" ht="13.9" x14ac:dyDescent="0.45">
      <c r="A6" s="3">
        <v>1</v>
      </c>
      <c r="B6" s="12">
        <v>18050</v>
      </c>
    </row>
    <row r="7" spans="1:3" ht="13.9" x14ac:dyDescent="0.45">
      <c r="A7" s="3">
        <v>2</v>
      </c>
      <c r="B7" s="12">
        <v>18050</v>
      </c>
    </row>
    <row r="8" spans="1:3" ht="13.9" x14ac:dyDescent="0.45">
      <c r="A8" s="3">
        <v>3</v>
      </c>
      <c r="B8" s="12">
        <v>18050</v>
      </c>
    </row>
    <row r="9" spans="1:3" x14ac:dyDescent="0.2">
      <c r="A9" s="3">
        <v>4</v>
      </c>
      <c r="B9" s="12">
        <v>18050</v>
      </c>
    </row>
    <row r="10" spans="1:3" x14ac:dyDescent="0.2">
      <c r="A10" s="3">
        <v>5</v>
      </c>
      <c r="B10" s="12">
        <v>18050</v>
      </c>
    </row>
    <row r="11" spans="1:3" x14ac:dyDescent="0.2">
      <c r="A11" s="3">
        <v>6</v>
      </c>
      <c r="B11" s="12">
        <v>18050</v>
      </c>
    </row>
    <row r="12" spans="1:3" x14ac:dyDescent="0.2">
      <c r="A12" s="3">
        <v>7</v>
      </c>
      <c r="B12" s="12">
        <v>18050</v>
      </c>
    </row>
    <row r="13" spans="1:3" x14ac:dyDescent="0.2">
      <c r="A13" s="3">
        <v>8</v>
      </c>
      <c r="B13" s="12">
        <v>18050</v>
      </c>
    </row>
    <row r="14" spans="1:3" x14ac:dyDescent="0.2">
      <c r="A14" s="3">
        <v>9</v>
      </c>
      <c r="B14" s="12">
        <v>18050</v>
      </c>
    </row>
    <row r="15" spans="1:3" x14ac:dyDescent="0.2">
      <c r="A15" s="3">
        <v>10</v>
      </c>
      <c r="B15" s="12">
        <v>18050</v>
      </c>
    </row>
    <row r="17" spans="1:3" ht="15" x14ac:dyDescent="0.25">
      <c r="A17" s="21" t="s">
        <v>38</v>
      </c>
      <c r="B17" s="22">
        <f>+B5+NPV(B2,B6:B15)</f>
        <v>1986.5256628160714</v>
      </c>
      <c r="C17" s="1" t="e">
        <f ca="1">"&lt;-- "&amp;_xlfn.FORMULATEXT(B17)</f>
        <v>#NAME?</v>
      </c>
    </row>
    <row r="18" spans="1:3" ht="15" x14ac:dyDescent="0.25">
      <c r="A18" s="21" t="s">
        <v>39</v>
      </c>
      <c r="B18" s="23">
        <f>IRR(B5:B15)</f>
        <v>0.12483327947617573</v>
      </c>
      <c r="C18" s="1" t="e">
        <f ca="1">"&lt;-- "&amp;_xlfn.FORMULATEXT(B18)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verticalDpi="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56"/>
  <sheetViews>
    <sheetView workbookViewId="0">
      <selection activeCell="C6" sqref="C6"/>
    </sheetView>
  </sheetViews>
  <sheetFormatPr defaultColWidth="9.140625" defaultRowHeight="12.75" x14ac:dyDescent="0.2"/>
  <cols>
    <col min="1" max="1" width="36" style="24" customWidth="1"/>
    <col min="2" max="2" width="11.140625" style="24" customWidth="1"/>
    <col min="3" max="3" width="17.28515625" style="24" customWidth="1"/>
    <col min="4" max="4" width="12.140625" style="24" customWidth="1"/>
    <col min="5" max="5" width="12.7109375" style="24" customWidth="1"/>
    <col min="6" max="6" width="9.7109375" style="24" bestFit="1" customWidth="1"/>
    <col min="7" max="11" width="12.7109375" style="24" customWidth="1"/>
    <col min="12" max="12" width="11.5703125" style="24" customWidth="1"/>
    <col min="13" max="13" width="10.7109375" style="24" bestFit="1" customWidth="1"/>
    <col min="14" max="16384" width="9.140625" style="24"/>
  </cols>
  <sheetData>
    <row r="1" spans="1:6" ht="17.649999999999999" x14ac:dyDescent="0.4">
      <c r="A1" s="96" t="s">
        <v>169</v>
      </c>
      <c r="B1" s="96"/>
      <c r="C1" s="96"/>
      <c r="D1" s="96"/>
      <c r="E1" s="96"/>
      <c r="F1" s="96"/>
    </row>
    <row r="2" spans="1:6" s="27" customFormat="1" ht="12.4" x14ac:dyDescent="0.4">
      <c r="A2" s="25" t="s">
        <v>19</v>
      </c>
      <c r="B2" s="26">
        <v>100000</v>
      </c>
    </row>
    <row r="3" spans="1:6" s="27" customFormat="1" ht="12.4" x14ac:dyDescent="0.4">
      <c r="A3" s="25" t="s">
        <v>20</v>
      </c>
      <c r="B3" s="28">
        <v>0.3</v>
      </c>
    </row>
    <row r="5" spans="1:6" ht="12.4" x14ac:dyDescent="0.4">
      <c r="A5" s="25" t="s">
        <v>21</v>
      </c>
      <c r="D5" s="25" t="s">
        <v>40</v>
      </c>
    </row>
    <row r="6" spans="1:6" ht="36.950000000000003" x14ac:dyDescent="0.4">
      <c r="A6" s="24" t="s">
        <v>22</v>
      </c>
      <c r="B6" s="29">
        <v>24000</v>
      </c>
      <c r="D6" s="30" t="s">
        <v>78</v>
      </c>
      <c r="E6" s="29">
        <v>80000</v>
      </c>
    </row>
    <row r="7" spans="1:6" ht="12.4" x14ac:dyDescent="0.4">
      <c r="A7" s="24" t="s">
        <v>23</v>
      </c>
      <c r="B7" s="29"/>
      <c r="D7" s="24" t="s">
        <v>41</v>
      </c>
      <c r="E7" s="29">
        <v>0</v>
      </c>
    </row>
    <row r="8" spans="1:6" x14ac:dyDescent="0.2">
      <c r="A8" s="24" t="s">
        <v>42</v>
      </c>
      <c r="B8" s="29">
        <v>-1500</v>
      </c>
      <c r="D8" s="24" t="s">
        <v>43</v>
      </c>
      <c r="E8" s="29">
        <f>E6-E7</f>
        <v>80000</v>
      </c>
      <c r="F8" s="24" t="e">
        <f ca="1">"&lt;-- "&amp;_xlfn.FORMULATEXT(E8)</f>
        <v>#NAME?</v>
      </c>
    </row>
    <row r="9" spans="1:6" x14ac:dyDescent="0.2">
      <c r="A9" s="24" t="s">
        <v>44</v>
      </c>
      <c r="B9" s="29">
        <v>-1000</v>
      </c>
      <c r="D9" s="24" t="s">
        <v>45</v>
      </c>
      <c r="E9" s="29">
        <f>B3*E8</f>
        <v>24000</v>
      </c>
      <c r="F9" s="24" t="e">
        <f t="shared" ref="F9:F10" ca="1" si="0">"&lt;-- "&amp;_xlfn.FORMULATEXT(E9)</f>
        <v>#NAME?</v>
      </c>
    </row>
    <row r="10" spans="1:6" ht="63.75" x14ac:dyDescent="0.2">
      <c r="A10" s="24" t="s">
        <v>26</v>
      </c>
      <c r="B10" s="29">
        <f>-B2/10</f>
        <v>-10000</v>
      </c>
      <c r="D10" s="31" t="s">
        <v>46</v>
      </c>
      <c r="E10" s="32">
        <f>E8-E9</f>
        <v>56000</v>
      </c>
      <c r="F10" s="24" t="e">
        <f t="shared" ca="1" si="0"/>
        <v>#NAME?</v>
      </c>
    </row>
    <row r="11" spans="1:6" x14ac:dyDescent="0.2">
      <c r="A11" s="24" t="s">
        <v>27</v>
      </c>
      <c r="B11" s="29">
        <f>SUM(B6:B10)</f>
        <v>11500</v>
      </c>
      <c r="C11" s="24" t="e">
        <f ca="1">"&lt;-- "&amp;_xlfn.FORMULATEXT(B11)</f>
        <v>#NAME?</v>
      </c>
    </row>
    <row r="12" spans="1:6" x14ac:dyDescent="0.2">
      <c r="A12" s="24" t="s">
        <v>28</v>
      </c>
      <c r="B12" s="29">
        <f>-B3*B11</f>
        <v>-3450</v>
      </c>
      <c r="C12" s="24" t="e">
        <f t="shared" ref="C12:C13" ca="1" si="1">"&lt;-- "&amp;_xlfn.FORMULATEXT(B12)</f>
        <v>#NAME?</v>
      </c>
    </row>
    <row r="13" spans="1:6" x14ac:dyDescent="0.2">
      <c r="A13" s="33" t="s">
        <v>29</v>
      </c>
      <c r="B13" s="32">
        <f>B11+B12</f>
        <v>8050</v>
      </c>
      <c r="C13" s="24" t="e">
        <f t="shared" ca="1" si="1"/>
        <v>#NAME?</v>
      </c>
    </row>
    <row r="14" spans="1:6" s="34" customFormat="1" x14ac:dyDescent="0.2">
      <c r="B14" s="35"/>
    </row>
    <row r="15" spans="1:6" ht="26.25" customHeight="1" x14ac:dyDescent="0.2">
      <c r="A15" s="97" t="s">
        <v>32</v>
      </c>
      <c r="B15" s="97"/>
      <c r="C15" s="97"/>
    </row>
    <row r="16" spans="1:6" x14ac:dyDescent="0.2">
      <c r="A16" s="24" t="s">
        <v>29</v>
      </c>
      <c r="B16" s="29">
        <f>B13</f>
        <v>8050</v>
      </c>
      <c r="C16" s="24" t="e">
        <f ca="1">"&lt;-- "&amp;_xlfn.FORMULATEXT(B16)</f>
        <v>#NAME?</v>
      </c>
    </row>
    <row r="17" spans="1:13" x14ac:dyDescent="0.2">
      <c r="A17" s="24" t="s">
        <v>31</v>
      </c>
      <c r="B17" s="29">
        <f>-B10</f>
        <v>10000</v>
      </c>
      <c r="C17" s="24" t="e">
        <f t="shared" ref="C17:C18" ca="1" si="2">"&lt;-- "&amp;_xlfn.FORMULATEXT(B17)</f>
        <v>#NAME?</v>
      </c>
    </row>
    <row r="18" spans="1:13" x14ac:dyDescent="0.2">
      <c r="A18" s="33" t="s">
        <v>30</v>
      </c>
      <c r="B18" s="32">
        <f>B17+B16</f>
        <v>18050</v>
      </c>
      <c r="C18" s="24" t="e">
        <f t="shared" ca="1" si="2"/>
        <v>#NAME?</v>
      </c>
    </row>
    <row r="20" spans="1:13" x14ac:dyDescent="0.2">
      <c r="A20" s="24" t="s">
        <v>37</v>
      </c>
      <c r="B20" s="36">
        <v>0.12</v>
      </c>
      <c r="J20" s="29"/>
      <c r="K20" s="29"/>
      <c r="L20" s="29"/>
      <c r="M20" s="29"/>
    </row>
    <row r="21" spans="1:13" x14ac:dyDescent="0.2">
      <c r="J21" s="29"/>
      <c r="K21" s="29"/>
      <c r="L21" s="29"/>
      <c r="M21" s="29"/>
    </row>
    <row r="22" spans="1:13" x14ac:dyDescent="0.2">
      <c r="A22" s="37" t="s">
        <v>15</v>
      </c>
      <c r="B22" s="37" t="s">
        <v>30</v>
      </c>
      <c r="J22" s="29"/>
      <c r="K22" s="29"/>
      <c r="L22" s="29"/>
      <c r="M22" s="29"/>
    </row>
    <row r="23" spans="1:13" x14ac:dyDescent="0.2">
      <c r="A23" s="38">
        <v>0</v>
      </c>
      <c r="B23" s="29">
        <f>-B2</f>
        <v>-100000</v>
      </c>
      <c r="J23" s="29"/>
      <c r="K23" s="29"/>
      <c r="L23" s="29"/>
      <c r="M23" s="29"/>
    </row>
    <row r="24" spans="1:13" x14ac:dyDescent="0.2">
      <c r="A24" s="38">
        <v>1</v>
      </c>
      <c r="B24" s="29">
        <f>B18</f>
        <v>18050</v>
      </c>
      <c r="C24" s="24" t="e">
        <f ca="1">"&lt;-- "&amp;_xlfn.FORMULATEXT(B24)</f>
        <v>#NAME?</v>
      </c>
      <c r="J24" s="29"/>
      <c r="K24" s="29"/>
      <c r="L24" s="29"/>
      <c r="M24" s="29"/>
    </row>
    <row r="25" spans="1:13" x14ac:dyDescent="0.2">
      <c r="A25" s="38">
        <v>2</v>
      </c>
      <c r="B25" s="29">
        <f t="shared" ref="B25:B32" si="3">B24</f>
        <v>18050</v>
      </c>
      <c r="J25" s="29"/>
      <c r="K25" s="29"/>
      <c r="L25" s="29"/>
      <c r="M25" s="29"/>
    </row>
    <row r="26" spans="1:13" x14ac:dyDescent="0.2">
      <c r="A26" s="38">
        <v>3</v>
      </c>
      <c r="B26" s="29">
        <f t="shared" si="3"/>
        <v>18050</v>
      </c>
    </row>
    <row r="27" spans="1:13" x14ac:dyDescent="0.2">
      <c r="A27" s="38">
        <v>4</v>
      </c>
      <c r="B27" s="29">
        <f t="shared" si="3"/>
        <v>18050</v>
      </c>
    </row>
    <row r="28" spans="1:13" x14ac:dyDescent="0.2">
      <c r="A28" s="38">
        <v>5</v>
      </c>
      <c r="B28" s="29">
        <f t="shared" si="3"/>
        <v>18050</v>
      </c>
    </row>
    <row r="29" spans="1:13" x14ac:dyDescent="0.2">
      <c r="A29" s="38">
        <v>6</v>
      </c>
      <c r="B29" s="29">
        <f t="shared" si="3"/>
        <v>18050</v>
      </c>
    </row>
    <row r="30" spans="1:13" x14ac:dyDescent="0.2">
      <c r="A30" s="38">
        <v>7</v>
      </c>
      <c r="B30" s="29">
        <f t="shared" si="3"/>
        <v>18050</v>
      </c>
    </row>
    <row r="31" spans="1:13" x14ac:dyDescent="0.2">
      <c r="A31" s="38">
        <v>8</v>
      </c>
      <c r="B31" s="29">
        <f t="shared" si="3"/>
        <v>18050</v>
      </c>
    </row>
    <row r="32" spans="1:13" x14ac:dyDescent="0.2">
      <c r="A32" s="38">
        <v>9</v>
      </c>
      <c r="B32" s="29">
        <f t="shared" si="3"/>
        <v>18050</v>
      </c>
    </row>
    <row r="33" spans="1:8" x14ac:dyDescent="0.2">
      <c r="A33" s="38">
        <v>10</v>
      </c>
      <c r="B33" s="29">
        <f>B32+E10</f>
        <v>74050</v>
      </c>
      <c r="C33" s="24" t="e">
        <f ca="1">"&lt;-- "&amp;_xlfn.FORMULATEXT(B33)</f>
        <v>#NAME?</v>
      </c>
    </row>
    <row r="34" spans="1:8" x14ac:dyDescent="0.2">
      <c r="A34" s="38"/>
      <c r="B34" s="29"/>
    </row>
    <row r="35" spans="1:8" x14ac:dyDescent="0.2">
      <c r="A35" s="47" t="s">
        <v>47</v>
      </c>
      <c r="B35" s="48">
        <f>B23+NPV(B20,B24:B33)</f>
        <v>20017.026911895024</v>
      </c>
      <c r="C35" s="24" t="e">
        <f ca="1">"&lt;-- "&amp;_xlfn.FORMULATEXT(B35)</f>
        <v>#NAME?</v>
      </c>
    </row>
    <row r="36" spans="1:8" x14ac:dyDescent="0.2">
      <c r="A36" s="47" t="s">
        <v>48</v>
      </c>
      <c r="B36" s="49">
        <f>IRR(B23:B33)</f>
        <v>0.15984817271076968</v>
      </c>
      <c r="C36" s="24" t="e">
        <f ca="1">"&lt;-- "&amp;_xlfn.FORMULATEXT(B36)</f>
        <v>#NAME?</v>
      </c>
    </row>
    <row r="37" spans="1:8" x14ac:dyDescent="0.2">
      <c r="A37" s="38"/>
      <c r="B37" s="29"/>
    </row>
    <row r="38" spans="1:8" ht="15.75" x14ac:dyDescent="0.25">
      <c r="A38" s="98" t="s">
        <v>49</v>
      </c>
      <c r="B38" s="98"/>
      <c r="C38" s="98"/>
      <c r="D38" s="98"/>
      <c r="E38" s="98"/>
      <c r="F38" s="98"/>
      <c r="G38" s="98"/>
      <c r="H38" s="98"/>
    </row>
    <row r="39" spans="1:8" x14ac:dyDescent="0.2">
      <c r="C39" s="99" t="s">
        <v>22</v>
      </c>
      <c r="D39" s="99"/>
      <c r="E39" s="99"/>
      <c r="F39" s="99"/>
      <c r="G39" s="99"/>
      <c r="H39" s="99"/>
    </row>
    <row r="40" spans="1:8" x14ac:dyDescent="0.2">
      <c r="B40" s="43">
        <f>B36</f>
        <v>0.15984817271076968</v>
      </c>
      <c r="C40" s="42">
        <v>18000</v>
      </c>
      <c r="D40" s="42">
        <v>20000</v>
      </c>
      <c r="E40" s="42">
        <v>22000</v>
      </c>
      <c r="F40" s="42">
        <v>24000</v>
      </c>
      <c r="G40" s="42">
        <v>26000</v>
      </c>
      <c r="H40" s="42">
        <v>28000</v>
      </c>
    </row>
    <row r="41" spans="1:8" x14ac:dyDescent="0.2">
      <c r="A41" s="37" t="s">
        <v>50</v>
      </c>
      <c r="B41" s="42">
        <v>50000</v>
      </c>
      <c r="C41" s="44">
        <f t="dataTable" ref="C41:H52" dt2D="1" dtr="0" r1="B6" r2="E6"/>
        <v>9.7155831861657438E-2</v>
      </c>
      <c r="D41" s="44">
        <v>0.11445487429766121</v>
      </c>
      <c r="E41" s="44">
        <v>0.13146119938330036</v>
      </c>
      <c r="F41" s="44">
        <v>0.14820420611033214</v>
      </c>
      <c r="G41" s="44">
        <v>0.16470989566548222</v>
      </c>
      <c r="H41" s="44">
        <v>0.18100132176891615</v>
      </c>
    </row>
    <row r="42" spans="1:8" x14ac:dyDescent="0.2">
      <c r="B42" s="42">
        <v>60000</v>
      </c>
      <c r="C42" s="44">
        <v>0.10255023397834684</v>
      </c>
      <c r="D42" s="44">
        <v>0.11934423758408563</v>
      </c>
      <c r="E42" s="44">
        <v>0.1359020422722399</v>
      </c>
      <c r="F42" s="44">
        <v>0.1522454882751263</v>
      </c>
      <c r="G42" s="44">
        <v>0.16839419779683173</v>
      </c>
      <c r="H42" s="44">
        <v>0.18436581832401777</v>
      </c>
    </row>
    <row r="43" spans="1:8" x14ac:dyDescent="0.2">
      <c r="B43" s="42">
        <v>70000</v>
      </c>
      <c r="C43" s="44">
        <v>0.1076550755394865</v>
      </c>
      <c r="D43" s="44">
        <v>0.12399439291794145</v>
      </c>
      <c r="E43" s="44">
        <v>0.14014466635042133</v>
      </c>
      <c r="F43" s="44">
        <v>0.15612203911308109</v>
      </c>
      <c r="G43" s="44">
        <v>0.17194122192716921</v>
      </c>
      <c r="H43" s="44">
        <v>0.18761561748883682</v>
      </c>
    </row>
    <row r="44" spans="1:8" x14ac:dyDescent="0.2">
      <c r="B44" s="42">
        <v>80000</v>
      </c>
      <c r="C44" s="44">
        <v>0.11250277602749792</v>
      </c>
      <c r="D44" s="44">
        <v>0.12842994408909458</v>
      </c>
      <c r="E44" s="44">
        <v>0.14420780739451122</v>
      </c>
      <c r="F44" s="44">
        <v>0.15984817271076968</v>
      </c>
      <c r="G44" s="44">
        <v>0.17536193847814263</v>
      </c>
      <c r="H44" s="44">
        <v>0.19075915251641162</v>
      </c>
    </row>
    <row r="45" spans="1:8" x14ac:dyDescent="0.2">
      <c r="B45" s="42">
        <v>90000</v>
      </c>
      <c r="C45" s="44">
        <v>0.11712041345605639</v>
      </c>
      <c r="D45" s="44">
        <v>0.13267174907295032</v>
      </c>
      <c r="E45" s="44">
        <v>0.14810756575770223</v>
      </c>
      <c r="F45" s="44">
        <v>0.16343634297282028</v>
      </c>
      <c r="G45" s="44">
        <v>0.1786660007216414</v>
      </c>
      <c r="H45" s="44">
        <v>0.19380392113140754</v>
      </c>
    </row>
    <row r="46" spans="1:8" x14ac:dyDescent="0.2">
      <c r="B46" s="42">
        <v>100000</v>
      </c>
      <c r="C46" s="44">
        <v>0.12153085759195559</v>
      </c>
      <c r="D46" s="44">
        <v>0.13673765790306946</v>
      </c>
      <c r="E46" s="44">
        <v>0.15185788816937729</v>
      </c>
      <c r="F46" s="44">
        <v>0.16689745911646359</v>
      </c>
      <c r="G46" s="44">
        <v>0.18186195197057731</v>
      </c>
      <c r="H46" s="44">
        <v>0.19675662198838495</v>
      </c>
    </row>
    <row r="47" spans="1:8" x14ac:dyDescent="0.2">
      <c r="B47" s="42">
        <v>110000</v>
      </c>
      <c r="C47" s="44">
        <v>0.12575361451272649</v>
      </c>
      <c r="D47" s="44">
        <v>0.14064307529977116</v>
      </c>
      <c r="E47" s="44">
        <v>0.15547094292248698</v>
      </c>
      <c r="F47" s="44">
        <v>0.17024113616330427</v>
      </c>
      <c r="G47" s="44">
        <v>0.18495739304226189</v>
      </c>
      <c r="H47" s="44">
        <v>0.19962326679066922</v>
      </c>
    </row>
    <row r="48" spans="1:8" x14ac:dyDescent="0.2">
      <c r="B48" s="42">
        <v>120000</v>
      </c>
      <c r="C48" s="44">
        <v>0.12980546710665153</v>
      </c>
      <c r="D48" s="44">
        <v>0.14440139611827041</v>
      </c>
      <c r="E48" s="44">
        <v>0.15895741578858291</v>
      </c>
      <c r="F48" s="44">
        <v>0.17347589599913582</v>
      </c>
      <c r="G48" s="44">
        <v>0.1879591188778329</v>
      </c>
      <c r="H48" s="44">
        <v>0.20240927314724333</v>
      </c>
    </row>
    <row r="49" spans="2:8" x14ac:dyDescent="0.2">
      <c r="B49" s="42">
        <v>130000</v>
      </c>
      <c r="C49" s="44">
        <v>0.13370096838627843</v>
      </c>
      <c r="D49" s="44">
        <v>0.148024346891106</v>
      </c>
      <c r="E49" s="44">
        <v>0.16232674610673659</v>
      </c>
      <c r="F49" s="44">
        <v>0.17660933036192494</v>
      </c>
      <c r="G49" s="44">
        <v>0.19087323095239772</v>
      </c>
      <c r="H49" s="44">
        <v>0.2051195420430858</v>
      </c>
    </row>
    <row r="50" spans="2:8" x14ac:dyDescent="0.2">
      <c r="B50" s="42">
        <v>140000</v>
      </c>
      <c r="C50" s="44">
        <v>0.13745282671881864</v>
      </c>
      <c r="D50" s="44">
        <v>0.15152225694733468</v>
      </c>
      <c r="E50" s="44">
        <v>0.16558731711409691</v>
      </c>
      <c r="F50" s="44">
        <v>0.17964823416621245</v>
      </c>
      <c r="G50" s="44">
        <v>0.19370523049271848</v>
      </c>
      <c r="H50" s="44">
        <v>0.2077585229108172</v>
      </c>
    </row>
    <row r="51" spans="2:8" x14ac:dyDescent="0.2">
      <c r="B51" s="42">
        <v>150000</v>
      </c>
      <c r="C51" s="44">
        <v>0.14107221040577711</v>
      </c>
      <c r="D51" s="44">
        <v>0.15490427597916168</v>
      </c>
      <c r="E51" s="44">
        <v>0.16874661084963094</v>
      </c>
      <c r="F51" s="44">
        <v>0.18259871546949302</v>
      </c>
      <c r="G51" s="44">
        <v>0.19646009633922312</v>
      </c>
      <c r="H51" s="44">
        <v>0.21033026863513693</v>
      </c>
    </row>
    <row r="52" spans="2:8" x14ac:dyDescent="0.2">
      <c r="B52" s="42">
        <v>160000</v>
      </c>
      <c r="C52" s="44">
        <v>0.1445689912097412</v>
      </c>
      <c r="D52" s="44">
        <v>0.15817855036492401</v>
      </c>
      <c r="E52" s="44">
        <v>0.17181133532396253</v>
      </c>
      <c r="F52" s="44">
        <v>0.18546628686638633</v>
      </c>
      <c r="G52" s="44">
        <v>0.19914235041749673</v>
      </c>
      <c r="H52" s="44">
        <v>0.21283848231697</v>
      </c>
    </row>
    <row r="54" spans="2:8" ht="13.15" customHeight="1" x14ac:dyDescent="0.2">
      <c r="B54" s="100" t="s">
        <v>79</v>
      </c>
      <c r="C54" s="100"/>
      <c r="D54" s="100"/>
      <c r="E54" s="100"/>
      <c r="F54" s="100"/>
      <c r="G54" s="100"/>
      <c r="H54" s="100"/>
    </row>
    <row r="55" spans="2:8" x14ac:dyDescent="0.2">
      <c r="B55" s="100"/>
      <c r="C55" s="100"/>
      <c r="D55" s="100"/>
      <c r="E55" s="100"/>
      <c r="F55" s="100"/>
      <c r="G55" s="100"/>
      <c r="H55" s="100"/>
    </row>
    <row r="56" spans="2:8" x14ac:dyDescent="0.2">
      <c r="B56" s="100"/>
      <c r="C56" s="100"/>
      <c r="D56" s="100"/>
      <c r="E56" s="100"/>
      <c r="F56" s="100"/>
      <c r="G56" s="100"/>
      <c r="H56" s="100"/>
    </row>
  </sheetData>
  <mergeCells count="5">
    <mergeCell ref="A1:F1"/>
    <mergeCell ref="A15:C15"/>
    <mergeCell ref="A38:H38"/>
    <mergeCell ref="C39:H39"/>
    <mergeCell ref="B54:H56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G30"/>
  <sheetViews>
    <sheetView workbookViewId="0">
      <selection activeCell="E25" sqref="E25"/>
    </sheetView>
  </sheetViews>
  <sheetFormatPr defaultColWidth="9.140625" defaultRowHeight="12.75" x14ac:dyDescent="0.2"/>
  <cols>
    <col min="1" max="1" width="26.140625" style="24" customWidth="1"/>
    <col min="2" max="2" width="9.140625" style="24"/>
    <col min="3" max="3" width="17.7109375" style="24" bestFit="1" customWidth="1"/>
    <col min="4" max="4" width="3.42578125" style="24" customWidth="1"/>
    <col min="5" max="6" width="9.140625" style="24"/>
    <col min="7" max="7" width="22.42578125" style="24" bestFit="1" customWidth="1"/>
    <col min="8" max="16384" width="9.140625" style="24"/>
  </cols>
  <sheetData>
    <row r="1" spans="1:7" ht="34.9" customHeight="1" x14ac:dyDescent="0.4">
      <c r="A1" s="96" t="s">
        <v>69</v>
      </c>
      <c r="B1" s="101"/>
      <c r="C1" s="101"/>
      <c r="D1" s="101"/>
      <c r="E1" s="101"/>
      <c r="F1" s="101"/>
      <c r="G1" s="101"/>
    </row>
    <row r="2" spans="1:7" ht="12.4" x14ac:dyDescent="0.4">
      <c r="A2" s="24" t="s">
        <v>52</v>
      </c>
      <c r="B2" s="24">
        <v>800</v>
      </c>
    </row>
    <row r="3" spans="1:7" ht="12.4" x14ac:dyDescent="0.4">
      <c r="A3" s="24" t="s">
        <v>53</v>
      </c>
      <c r="B3" s="29">
        <v>1000</v>
      </c>
    </row>
    <row r="4" spans="1:7" ht="12.4" x14ac:dyDescent="0.4">
      <c r="A4" s="24" t="s">
        <v>54</v>
      </c>
      <c r="B4" s="24">
        <v>400</v>
      </c>
    </row>
    <row r="5" spans="1:7" ht="12.4" x14ac:dyDescent="0.4">
      <c r="A5" s="24" t="s">
        <v>55</v>
      </c>
      <c r="B5" s="24">
        <v>300</v>
      </c>
      <c r="E5" s="25" t="s">
        <v>56</v>
      </c>
    </row>
    <row r="6" spans="1:7" ht="12.4" x14ac:dyDescent="0.4">
      <c r="A6" s="24" t="s">
        <v>57</v>
      </c>
      <c r="B6" s="24">
        <v>100</v>
      </c>
      <c r="E6" s="24" t="s">
        <v>15</v>
      </c>
      <c r="F6" s="24" t="s">
        <v>30</v>
      </c>
    </row>
    <row r="7" spans="1:7" ht="12.4" x14ac:dyDescent="0.4">
      <c r="E7" s="38">
        <v>0</v>
      </c>
      <c r="F7" s="24">
        <f>-B2</f>
        <v>-800</v>
      </c>
      <c r="G7" s="24" t="e">
        <f ca="1">"&lt;-- "&amp;_xlfn.FORMULATEXT(F7)</f>
        <v>#NAME?</v>
      </c>
    </row>
    <row r="8" spans="1:7" ht="12.4" x14ac:dyDescent="0.4">
      <c r="A8" s="24" t="s">
        <v>58</v>
      </c>
      <c r="B8" s="36">
        <v>0.4</v>
      </c>
      <c r="E8" s="38">
        <v>1</v>
      </c>
      <c r="F8" s="29">
        <f t="shared" ref="F8:F14" si="0">$B$23</f>
        <v>220</v>
      </c>
      <c r="G8" s="24" t="e">
        <f ca="1">"&lt;-- "&amp;_xlfn.FORMULATEXT(F8)</f>
        <v>#NAME?</v>
      </c>
    </row>
    <row r="9" spans="1:7" x14ac:dyDescent="0.2">
      <c r="A9" s="24" t="s">
        <v>37</v>
      </c>
      <c r="B9" s="36">
        <v>0.15</v>
      </c>
      <c r="E9" s="38">
        <v>2</v>
      </c>
      <c r="F9" s="29">
        <f t="shared" si="0"/>
        <v>220</v>
      </c>
    </row>
    <row r="10" spans="1:7" x14ac:dyDescent="0.2">
      <c r="E10" s="38">
        <v>3</v>
      </c>
      <c r="F10" s="29">
        <f t="shared" si="0"/>
        <v>220</v>
      </c>
    </row>
    <row r="11" spans="1:7" x14ac:dyDescent="0.2">
      <c r="A11" s="25" t="s">
        <v>59</v>
      </c>
      <c r="E11" s="38">
        <v>4</v>
      </c>
      <c r="F11" s="29">
        <f t="shared" si="0"/>
        <v>220</v>
      </c>
    </row>
    <row r="12" spans="1:7" x14ac:dyDescent="0.2">
      <c r="A12" s="24" t="s">
        <v>60</v>
      </c>
      <c r="B12" s="29">
        <f>B3</f>
        <v>1000</v>
      </c>
      <c r="E12" s="38">
        <v>5</v>
      </c>
      <c r="F12" s="29">
        <f t="shared" si="0"/>
        <v>220</v>
      </c>
    </row>
    <row r="13" spans="1:7" x14ac:dyDescent="0.2">
      <c r="A13" s="24" t="s">
        <v>61</v>
      </c>
      <c r="B13" s="24">
        <f>-B4</f>
        <v>-400</v>
      </c>
      <c r="E13" s="38">
        <v>6</v>
      </c>
      <c r="F13" s="29">
        <f t="shared" si="0"/>
        <v>220</v>
      </c>
    </row>
    <row r="14" spans="1:7" x14ac:dyDescent="0.2">
      <c r="A14" s="24" t="s">
        <v>62</v>
      </c>
      <c r="B14" s="24">
        <f>-B5</f>
        <v>-300</v>
      </c>
      <c r="E14" s="38">
        <v>7</v>
      </c>
      <c r="F14" s="29">
        <f t="shared" si="0"/>
        <v>220</v>
      </c>
    </row>
    <row r="15" spans="1:7" x14ac:dyDescent="0.2">
      <c r="A15" s="24" t="s">
        <v>63</v>
      </c>
      <c r="B15" s="24">
        <f>-B6</f>
        <v>-100</v>
      </c>
      <c r="E15" s="38">
        <v>8</v>
      </c>
      <c r="F15" s="29">
        <f>$B$23+B30</f>
        <v>400</v>
      </c>
      <c r="G15" s="24" t="e">
        <f ca="1">"&lt;-- "&amp;_xlfn.FORMULATEXT(F15)</f>
        <v>#NAME?</v>
      </c>
    </row>
    <row r="16" spans="1:7" x14ac:dyDescent="0.2">
      <c r="A16" s="24" t="s">
        <v>64</v>
      </c>
      <c r="B16" s="29">
        <f>SUM(B12:B15)</f>
        <v>200</v>
      </c>
      <c r="C16" s="24" t="e">
        <f ca="1">"&lt;-- "&amp;_xlfn.FORMULATEXT(B16)</f>
        <v>#NAME?</v>
      </c>
      <c r="E16" s="38"/>
      <c r="F16" s="29"/>
    </row>
    <row r="17" spans="1:7" x14ac:dyDescent="0.2">
      <c r="A17" s="24" t="s">
        <v>65</v>
      </c>
      <c r="B17" s="24">
        <f>-B8*B16</f>
        <v>-80</v>
      </c>
      <c r="C17" s="24" t="e">
        <f t="shared" ref="C17:C18" ca="1" si="1">"&lt;-- "&amp;_xlfn.FORMULATEXT(B17)</f>
        <v>#NAME?</v>
      </c>
      <c r="E17" s="45" t="s">
        <v>66</v>
      </c>
      <c r="F17" s="32">
        <f>F7+NPV(B9,F8:F15)</f>
        <v>246.05305098459826</v>
      </c>
      <c r="G17" s="24" t="e">
        <f ca="1">"&lt;-- "&amp;_xlfn.FORMULATEXT(F17)</f>
        <v>#NAME?</v>
      </c>
    </row>
    <row r="18" spans="1:7" x14ac:dyDescent="0.2">
      <c r="A18" s="24" t="s">
        <v>67</v>
      </c>
      <c r="B18" s="29">
        <f>B16+B17</f>
        <v>120</v>
      </c>
      <c r="C18" s="24" t="e">
        <f t="shared" ca="1" si="1"/>
        <v>#NAME?</v>
      </c>
    </row>
    <row r="20" spans="1:7" x14ac:dyDescent="0.2">
      <c r="A20" s="25" t="s">
        <v>68</v>
      </c>
    </row>
    <row r="21" spans="1:7" x14ac:dyDescent="0.2">
      <c r="A21" s="24" t="s">
        <v>67</v>
      </c>
      <c r="B21" s="29">
        <f>B18</f>
        <v>120</v>
      </c>
    </row>
    <row r="22" spans="1:7" x14ac:dyDescent="0.2">
      <c r="A22" s="24" t="s">
        <v>31</v>
      </c>
      <c r="B22" s="24">
        <f>-B15</f>
        <v>100</v>
      </c>
    </row>
    <row r="23" spans="1:7" x14ac:dyDescent="0.2">
      <c r="A23" s="33" t="s">
        <v>30</v>
      </c>
      <c r="B23" s="32">
        <f>B22+B21</f>
        <v>220</v>
      </c>
    </row>
    <row r="25" spans="1:7" x14ac:dyDescent="0.2">
      <c r="A25" s="25" t="s">
        <v>70</v>
      </c>
    </row>
    <row r="26" spans="1:7" x14ac:dyDescent="0.2">
      <c r="A26" s="24" t="s">
        <v>71</v>
      </c>
      <c r="B26" s="24">
        <v>300</v>
      </c>
    </row>
    <row r="27" spans="1:7" x14ac:dyDescent="0.2">
      <c r="A27" s="24" t="s">
        <v>72</v>
      </c>
      <c r="B27" s="24">
        <v>0</v>
      </c>
    </row>
    <row r="28" spans="1:7" x14ac:dyDescent="0.2">
      <c r="A28" s="24" t="s">
        <v>43</v>
      </c>
      <c r="B28" s="24">
        <f>B26-B27</f>
        <v>300</v>
      </c>
      <c r="C28" s="24" t="e">
        <f ca="1">getformula(B28)</f>
        <v>#NAME?</v>
      </c>
    </row>
    <row r="29" spans="1:7" x14ac:dyDescent="0.2">
      <c r="A29" s="24" t="s">
        <v>73</v>
      </c>
      <c r="B29" s="24">
        <f>B8*B28</f>
        <v>120</v>
      </c>
      <c r="C29" s="24" t="e">
        <f ca="1">getformula(B29)</f>
        <v>#NAME?</v>
      </c>
    </row>
    <row r="30" spans="1:7" x14ac:dyDescent="0.2">
      <c r="A30" s="33" t="s">
        <v>74</v>
      </c>
      <c r="B30" s="33">
        <f>B26-B29</f>
        <v>180</v>
      </c>
      <c r="C30" s="24" t="e">
        <f ca="1">getformula(B30)</f>
        <v>#NAME?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30"/>
  <sheetViews>
    <sheetView workbookViewId="0">
      <selection activeCell="G17" sqref="G17"/>
    </sheetView>
  </sheetViews>
  <sheetFormatPr defaultColWidth="9.140625" defaultRowHeight="12.75" x14ac:dyDescent="0.2"/>
  <cols>
    <col min="1" max="1" width="26.140625" style="24" customWidth="1"/>
    <col min="2" max="2" width="9.140625" style="24"/>
    <col min="3" max="3" width="17.7109375" style="24" bestFit="1" customWidth="1"/>
    <col min="4" max="4" width="3.42578125" style="24" customWidth="1"/>
    <col min="5" max="6" width="9.140625" style="24"/>
    <col min="7" max="7" width="22.42578125" style="24" bestFit="1" customWidth="1"/>
    <col min="8" max="16384" width="9.140625" style="24"/>
  </cols>
  <sheetData>
    <row r="1" spans="1:7" ht="35.1" customHeight="1" x14ac:dyDescent="0.6">
      <c r="A1" s="102" t="s">
        <v>170</v>
      </c>
      <c r="B1" s="103"/>
      <c r="C1" s="103"/>
      <c r="D1" s="103"/>
      <c r="E1" s="103"/>
      <c r="F1" s="103"/>
      <c r="G1" s="103"/>
    </row>
    <row r="2" spans="1:7" ht="12.4" x14ac:dyDescent="0.4">
      <c r="A2" s="24" t="s">
        <v>52</v>
      </c>
      <c r="B2" s="24">
        <v>800</v>
      </c>
    </row>
    <row r="3" spans="1:7" ht="12.4" x14ac:dyDescent="0.4">
      <c r="A3" s="24" t="s">
        <v>53</v>
      </c>
      <c r="B3" s="29">
        <v>1000</v>
      </c>
    </row>
    <row r="4" spans="1:7" ht="12.4" x14ac:dyDescent="0.4">
      <c r="A4" s="24" t="s">
        <v>54</v>
      </c>
      <c r="B4" s="24">
        <v>400</v>
      </c>
    </row>
    <row r="5" spans="1:7" ht="12.4" x14ac:dyDescent="0.4">
      <c r="A5" s="24" t="s">
        <v>55</v>
      </c>
      <c r="B5" s="24">
        <v>300</v>
      </c>
      <c r="E5" s="25" t="s">
        <v>56</v>
      </c>
    </row>
    <row r="6" spans="1:7" ht="12.4" x14ac:dyDescent="0.4">
      <c r="A6" s="24" t="s">
        <v>57</v>
      </c>
      <c r="B6" s="24">
        <v>100</v>
      </c>
      <c r="E6" s="24" t="s">
        <v>15</v>
      </c>
      <c r="F6" s="24" t="s">
        <v>30</v>
      </c>
    </row>
    <row r="7" spans="1:7" ht="12.4" x14ac:dyDescent="0.4">
      <c r="E7" s="38">
        <v>0</v>
      </c>
      <c r="F7" s="24">
        <f>-B2</f>
        <v>-800</v>
      </c>
      <c r="G7" s="24" t="e">
        <f ca="1">getformula(F7)</f>
        <v>#NAME?</v>
      </c>
    </row>
    <row r="8" spans="1:7" ht="12.4" x14ac:dyDescent="0.4">
      <c r="A8" s="24" t="s">
        <v>58</v>
      </c>
      <c r="B8" s="36">
        <v>0.4</v>
      </c>
      <c r="E8" s="38">
        <v>1</v>
      </c>
      <c r="F8" s="29">
        <f t="shared" ref="F8:F13" si="0">$B$23</f>
        <v>220</v>
      </c>
      <c r="G8" s="24" t="e">
        <f ca="1">getformula(F8)</f>
        <v>#NAME?</v>
      </c>
    </row>
    <row r="9" spans="1:7" x14ac:dyDescent="0.2">
      <c r="A9" s="24" t="s">
        <v>37</v>
      </c>
      <c r="B9" s="36">
        <v>0.15</v>
      </c>
      <c r="E9" s="38">
        <v>2</v>
      </c>
      <c r="F9" s="29">
        <f t="shared" si="0"/>
        <v>220</v>
      </c>
    </row>
    <row r="10" spans="1:7" x14ac:dyDescent="0.2">
      <c r="E10" s="38">
        <v>3</v>
      </c>
      <c r="F10" s="29">
        <f t="shared" si="0"/>
        <v>220</v>
      </c>
    </row>
    <row r="11" spans="1:7" x14ac:dyDescent="0.2">
      <c r="A11" s="25" t="s">
        <v>59</v>
      </c>
      <c r="E11" s="38">
        <v>4</v>
      </c>
      <c r="F11" s="29">
        <f t="shared" si="0"/>
        <v>220</v>
      </c>
    </row>
    <row r="12" spans="1:7" x14ac:dyDescent="0.2">
      <c r="A12" s="24" t="s">
        <v>60</v>
      </c>
      <c r="B12" s="29">
        <f>B3</f>
        <v>1000</v>
      </c>
      <c r="E12" s="38">
        <v>5</v>
      </c>
      <c r="F12" s="29">
        <f t="shared" si="0"/>
        <v>220</v>
      </c>
    </row>
    <row r="13" spans="1:7" x14ac:dyDescent="0.2">
      <c r="A13" s="24" t="s">
        <v>61</v>
      </c>
      <c r="B13" s="24">
        <f>-B4</f>
        <v>-400</v>
      </c>
      <c r="E13" s="38">
        <v>6</v>
      </c>
      <c r="F13" s="29">
        <f t="shared" si="0"/>
        <v>220</v>
      </c>
    </row>
    <row r="14" spans="1:7" x14ac:dyDescent="0.2">
      <c r="A14" s="24" t="s">
        <v>62</v>
      </c>
      <c r="B14" s="24">
        <f>-B5</f>
        <v>-300</v>
      </c>
      <c r="E14" s="38">
        <v>7</v>
      </c>
      <c r="F14" s="29">
        <f>$B$23+B30</f>
        <v>530</v>
      </c>
      <c r="G14" s="24" t="e">
        <f ca="1">getformula(F14)</f>
        <v>#NAME?</v>
      </c>
    </row>
    <row r="15" spans="1:7" x14ac:dyDescent="0.2">
      <c r="A15" s="24" t="s">
        <v>63</v>
      </c>
      <c r="B15" s="24">
        <f>-B6</f>
        <v>-100</v>
      </c>
      <c r="E15" s="38"/>
      <c r="F15" s="29"/>
    </row>
    <row r="16" spans="1:7" x14ac:dyDescent="0.2">
      <c r="A16" s="24" t="s">
        <v>64</v>
      </c>
      <c r="B16" s="29">
        <f>SUM(B12:B15)</f>
        <v>200</v>
      </c>
      <c r="C16" s="24" t="e">
        <f ca="1">getformula(B16)</f>
        <v>#NAME?</v>
      </c>
      <c r="E16" s="45" t="s">
        <v>66</v>
      </c>
      <c r="F16" s="32">
        <f>F7+NPV(B9,F8:F15)</f>
        <v>231.83282382229004</v>
      </c>
      <c r="G16" s="24" t="e">
        <f ca="1">getformula(F16)</f>
        <v>#NAME?</v>
      </c>
    </row>
    <row r="17" spans="1:3" x14ac:dyDescent="0.2">
      <c r="A17" s="24" t="s">
        <v>65</v>
      </c>
      <c r="B17" s="24">
        <f>-B8*B16</f>
        <v>-80</v>
      </c>
      <c r="C17" s="24" t="e">
        <f ca="1">getformula(B17)</f>
        <v>#NAME?</v>
      </c>
    </row>
    <row r="18" spans="1:3" x14ac:dyDescent="0.2">
      <c r="A18" s="24" t="s">
        <v>67</v>
      </c>
      <c r="B18" s="29">
        <f>B16+B17</f>
        <v>120</v>
      </c>
      <c r="C18" s="24" t="e">
        <f ca="1">getformula(B18)</f>
        <v>#NAME?</v>
      </c>
    </row>
    <row r="20" spans="1:3" x14ac:dyDescent="0.2">
      <c r="A20" s="25" t="s">
        <v>68</v>
      </c>
    </row>
    <row r="21" spans="1:3" x14ac:dyDescent="0.2">
      <c r="A21" s="24" t="s">
        <v>67</v>
      </c>
      <c r="B21" s="29">
        <f>B18</f>
        <v>120</v>
      </c>
    </row>
    <row r="22" spans="1:3" x14ac:dyDescent="0.2">
      <c r="A22" s="24" t="s">
        <v>31</v>
      </c>
      <c r="B22" s="24">
        <f>-B15</f>
        <v>100</v>
      </c>
    </row>
    <row r="23" spans="1:3" x14ac:dyDescent="0.2">
      <c r="A23" s="33" t="s">
        <v>30</v>
      </c>
      <c r="B23" s="32">
        <f>B22+B21</f>
        <v>220</v>
      </c>
    </row>
    <row r="25" spans="1:3" x14ac:dyDescent="0.2">
      <c r="A25" s="25" t="s">
        <v>70</v>
      </c>
    </row>
    <row r="26" spans="1:3" x14ac:dyDescent="0.2">
      <c r="A26" s="24" t="s">
        <v>76</v>
      </c>
      <c r="B26" s="24">
        <v>450</v>
      </c>
    </row>
    <row r="27" spans="1:3" x14ac:dyDescent="0.2">
      <c r="A27" s="24" t="s">
        <v>77</v>
      </c>
      <c r="B27" s="24">
        <v>100</v>
      </c>
    </row>
    <row r="28" spans="1:3" x14ac:dyDescent="0.2">
      <c r="A28" s="24" t="s">
        <v>43</v>
      </c>
      <c r="B28" s="24">
        <f>B26-B27</f>
        <v>350</v>
      </c>
      <c r="C28" s="24" t="e">
        <f ca="1">getformula(B28)</f>
        <v>#NAME?</v>
      </c>
    </row>
    <row r="29" spans="1:3" x14ac:dyDescent="0.2">
      <c r="A29" s="24" t="s">
        <v>73</v>
      </c>
      <c r="B29" s="24">
        <f>B8*B28</f>
        <v>140</v>
      </c>
      <c r="C29" s="24" t="e">
        <f ca="1">getformula(B29)</f>
        <v>#NAME?</v>
      </c>
    </row>
    <row r="30" spans="1:3" x14ac:dyDescent="0.2">
      <c r="A30" s="33" t="s">
        <v>74</v>
      </c>
      <c r="B30" s="33">
        <f>B26-B29</f>
        <v>310</v>
      </c>
      <c r="C30" s="24" t="e">
        <f ca="1">getformula(B30)</f>
        <v>#NAME?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30"/>
  <sheetViews>
    <sheetView workbookViewId="0">
      <selection sqref="A1:G1"/>
    </sheetView>
  </sheetViews>
  <sheetFormatPr defaultColWidth="9.140625" defaultRowHeight="12.75" x14ac:dyDescent="0.2"/>
  <cols>
    <col min="1" max="1" width="26.140625" style="24" customWidth="1"/>
    <col min="2" max="2" width="9.140625" style="24"/>
    <col min="3" max="3" width="17.7109375" style="24" bestFit="1" customWidth="1"/>
    <col min="4" max="4" width="3.42578125" style="24" customWidth="1"/>
    <col min="5" max="6" width="9.140625" style="24"/>
    <col min="7" max="7" width="22.42578125" style="24" bestFit="1" customWidth="1"/>
    <col min="8" max="16384" width="9.140625" style="24"/>
  </cols>
  <sheetData>
    <row r="1" spans="1:7" ht="55.15" customHeight="1" x14ac:dyDescent="0.6">
      <c r="A1" s="102" t="s">
        <v>75</v>
      </c>
      <c r="B1" s="103"/>
      <c r="C1" s="103"/>
      <c r="D1" s="103"/>
      <c r="E1" s="103"/>
      <c r="F1" s="103"/>
      <c r="G1" s="103"/>
    </row>
    <row r="2" spans="1:7" ht="12.4" x14ac:dyDescent="0.4">
      <c r="A2" s="24" t="s">
        <v>52</v>
      </c>
      <c r="B2" s="24">
        <v>800</v>
      </c>
    </row>
    <row r="3" spans="1:7" ht="12.4" x14ac:dyDescent="0.4">
      <c r="A3" s="24" t="s">
        <v>53</v>
      </c>
      <c r="B3" s="29">
        <v>1000</v>
      </c>
    </row>
    <row r="4" spans="1:7" ht="12.4" x14ac:dyDescent="0.4">
      <c r="A4" s="24" t="s">
        <v>54</v>
      </c>
      <c r="B4" s="24">
        <v>400</v>
      </c>
    </row>
    <row r="5" spans="1:7" ht="12.4" x14ac:dyDescent="0.4">
      <c r="A5" s="24" t="s">
        <v>55</v>
      </c>
      <c r="B5" s="24">
        <v>300</v>
      </c>
      <c r="E5" s="25" t="s">
        <v>56</v>
      </c>
    </row>
    <row r="6" spans="1:7" ht="12.4" x14ac:dyDescent="0.4">
      <c r="A6" s="24" t="s">
        <v>57</v>
      </c>
      <c r="B6" s="24">
        <v>100</v>
      </c>
      <c r="E6" s="24" t="s">
        <v>15</v>
      </c>
      <c r="F6" s="24" t="s">
        <v>30</v>
      </c>
    </row>
    <row r="7" spans="1:7" x14ac:dyDescent="0.2">
      <c r="E7" s="38">
        <v>0</v>
      </c>
      <c r="F7" s="24">
        <f>-B2</f>
        <v>-800</v>
      </c>
      <c r="G7" s="24" t="e">
        <f ca="1">getformula(F7)</f>
        <v>#NAME?</v>
      </c>
    </row>
    <row r="8" spans="1:7" x14ac:dyDescent="0.2">
      <c r="A8" s="24" t="s">
        <v>58</v>
      </c>
      <c r="B8" s="36">
        <v>0.4</v>
      </c>
      <c r="E8" s="38">
        <v>1</v>
      </c>
      <c r="F8" s="29">
        <f t="shared" ref="F8:F13" si="0">$B$23</f>
        <v>220</v>
      </c>
      <c r="G8" s="24" t="e">
        <f ca="1">getformula(F8)</f>
        <v>#NAME?</v>
      </c>
    </row>
    <row r="9" spans="1:7" x14ac:dyDescent="0.2">
      <c r="A9" s="24" t="s">
        <v>37</v>
      </c>
      <c r="B9" s="36">
        <v>0.15</v>
      </c>
      <c r="E9" s="38">
        <v>2</v>
      </c>
      <c r="F9" s="29">
        <f t="shared" si="0"/>
        <v>220</v>
      </c>
    </row>
    <row r="10" spans="1:7" x14ac:dyDescent="0.2">
      <c r="E10" s="38">
        <v>3</v>
      </c>
      <c r="F10" s="29">
        <f t="shared" si="0"/>
        <v>220</v>
      </c>
    </row>
    <row r="11" spans="1:7" x14ac:dyDescent="0.2">
      <c r="A11" s="25" t="s">
        <v>59</v>
      </c>
      <c r="E11" s="38">
        <v>4</v>
      </c>
      <c r="F11" s="29">
        <f t="shared" si="0"/>
        <v>220</v>
      </c>
    </row>
    <row r="12" spans="1:7" x14ac:dyDescent="0.2">
      <c r="A12" s="24" t="s">
        <v>60</v>
      </c>
      <c r="B12" s="29">
        <f>B3</f>
        <v>1000</v>
      </c>
      <c r="E12" s="38">
        <v>5</v>
      </c>
      <c r="F12" s="29">
        <f t="shared" si="0"/>
        <v>220</v>
      </c>
    </row>
    <row r="13" spans="1:7" x14ac:dyDescent="0.2">
      <c r="A13" s="24" t="s">
        <v>61</v>
      </c>
      <c r="B13" s="24">
        <f>-B4</f>
        <v>-400</v>
      </c>
      <c r="E13" s="38">
        <v>6</v>
      </c>
      <c r="F13" s="29">
        <f t="shared" si="0"/>
        <v>220</v>
      </c>
    </row>
    <row r="14" spans="1:7" x14ac:dyDescent="0.2">
      <c r="A14" s="24" t="s">
        <v>62</v>
      </c>
      <c r="B14" s="24">
        <f>-B5</f>
        <v>-300</v>
      </c>
      <c r="E14" s="38">
        <v>7</v>
      </c>
      <c r="F14" s="29">
        <f>$B$23+B30</f>
        <v>290</v>
      </c>
      <c r="G14" s="24" t="e">
        <f ca="1">getformula(F14)</f>
        <v>#NAME?</v>
      </c>
    </row>
    <row r="15" spans="1:7" x14ac:dyDescent="0.2">
      <c r="A15" s="24" t="s">
        <v>63</v>
      </c>
      <c r="B15" s="24">
        <f>-B6</f>
        <v>-100</v>
      </c>
      <c r="E15" s="38"/>
      <c r="F15" s="29"/>
    </row>
    <row r="16" spans="1:7" x14ac:dyDescent="0.2">
      <c r="A16" s="24" t="s">
        <v>64</v>
      </c>
      <c r="B16" s="29">
        <f>SUM(B12:B15)</f>
        <v>200</v>
      </c>
      <c r="C16" s="24" t="e">
        <f ca="1">getformula(B16)</f>
        <v>#NAME?</v>
      </c>
      <c r="E16" s="45" t="s">
        <v>66</v>
      </c>
      <c r="F16" s="32">
        <f>F7+NPV(B9,F8:F15)</f>
        <v>141.6079342407478</v>
      </c>
      <c r="G16" s="24" t="e">
        <f ca="1">getformula(F16)</f>
        <v>#NAME?</v>
      </c>
    </row>
    <row r="17" spans="1:3" x14ac:dyDescent="0.2">
      <c r="A17" s="24" t="s">
        <v>65</v>
      </c>
      <c r="B17" s="24">
        <f>-B8*B16</f>
        <v>-80</v>
      </c>
      <c r="C17" s="24" t="e">
        <f ca="1">getformula(B17)</f>
        <v>#NAME?</v>
      </c>
    </row>
    <row r="18" spans="1:3" x14ac:dyDescent="0.2">
      <c r="A18" s="24" t="s">
        <v>67</v>
      </c>
      <c r="B18" s="29">
        <f>B16+B17</f>
        <v>120</v>
      </c>
      <c r="C18" s="24" t="e">
        <f ca="1">getformula(B18)</f>
        <v>#NAME?</v>
      </c>
    </row>
    <row r="20" spans="1:3" x14ac:dyDescent="0.2">
      <c r="A20" s="25" t="s">
        <v>68</v>
      </c>
    </row>
    <row r="21" spans="1:3" x14ac:dyDescent="0.2">
      <c r="A21" s="24" t="s">
        <v>67</v>
      </c>
      <c r="B21" s="29">
        <f>B18</f>
        <v>120</v>
      </c>
    </row>
    <row r="22" spans="1:3" x14ac:dyDescent="0.2">
      <c r="A22" s="24" t="s">
        <v>31</v>
      </c>
      <c r="B22" s="24">
        <f>-B15</f>
        <v>100</v>
      </c>
    </row>
    <row r="23" spans="1:3" x14ac:dyDescent="0.2">
      <c r="A23" s="33" t="s">
        <v>30</v>
      </c>
      <c r="B23" s="32">
        <f>B22+B21</f>
        <v>220</v>
      </c>
    </row>
    <row r="25" spans="1:3" x14ac:dyDescent="0.2">
      <c r="A25" s="25" t="s">
        <v>70</v>
      </c>
    </row>
    <row r="26" spans="1:3" x14ac:dyDescent="0.2">
      <c r="A26" s="24" t="s">
        <v>76</v>
      </c>
      <c r="B26" s="24">
        <v>50</v>
      </c>
    </row>
    <row r="27" spans="1:3" x14ac:dyDescent="0.2">
      <c r="A27" s="24" t="s">
        <v>77</v>
      </c>
      <c r="B27" s="24">
        <v>100</v>
      </c>
    </row>
    <row r="28" spans="1:3" x14ac:dyDescent="0.2">
      <c r="A28" s="24" t="s">
        <v>43</v>
      </c>
      <c r="B28" s="24">
        <f>B26-B27</f>
        <v>-50</v>
      </c>
      <c r="C28" s="24" t="e">
        <f ca="1">getformula(B28)</f>
        <v>#NAME?</v>
      </c>
    </row>
    <row r="29" spans="1:3" x14ac:dyDescent="0.2">
      <c r="A29" s="24" t="s">
        <v>73</v>
      </c>
      <c r="B29" s="24">
        <f>B8*B28</f>
        <v>-20</v>
      </c>
      <c r="C29" s="24" t="e">
        <f ca="1">getformula(B29)</f>
        <v>#NAME?</v>
      </c>
    </row>
    <row r="30" spans="1:3" x14ac:dyDescent="0.2">
      <c r="A30" s="33" t="s">
        <v>74</v>
      </c>
      <c r="B30" s="33">
        <f>B26-B29</f>
        <v>70</v>
      </c>
      <c r="C30" s="24" t="e">
        <f ca="1">getformula(B30)</f>
        <v>#NAME?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35"/>
  <sheetViews>
    <sheetView workbookViewId="0">
      <selection activeCell="D18" sqref="D18"/>
    </sheetView>
  </sheetViews>
  <sheetFormatPr defaultColWidth="9.140625" defaultRowHeight="12.75" x14ac:dyDescent="0.2"/>
  <cols>
    <col min="1" max="1" width="31.5703125" style="24" bestFit="1" customWidth="1"/>
    <col min="2" max="2" width="12.85546875" style="24" customWidth="1"/>
    <col min="3" max="3" width="12.28515625" style="24" customWidth="1"/>
    <col min="4" max="4" width="13.28515625" style="24" customWidth="1"/>
    <col min="5" max="5" width="14.28515625" style="24" customWidth="1"/>
    <col min="6" max="6" width="17.42578125" style="24" bestFit="1" customWidth="1"/>
    <col min="7" max="7" width="17.5703125" style="24" bestFit="1" customWidth="1"/>
    <col min="8" max="8" width="18" style="24" bestFit="1" customWidth="1"/>
    <col min="9" max="16384" width="9.140625" style="24"/>
  </cols>
  <sheetData>
    <row r="1" spans="1:8" ht="17.649999999999999" x14ac:dyDescent="0.6">
      <c r="A1" s="103" t="s">
        <v>97</v>
      </c>
      <c r="B1" s="103"/>
      <c r="C1" s="103"/>
      <c r="D1" s="103"/>
      <c r="E1" s="103"/>
      <c r="F1" s="103"/>
      <c r="G1" s="103"/>
      <c r="H1" s="60"/>
    </row>
    <row r="2" spans="1:8" ht="12.4" x14ac:dyDescent="0.4">
      <c r="A2" s="24" t="s">
        <v>98</v>
      </c>
      <c r="B2" s="29">
        <v>10000</v>
      </c>
    </row>
    <row r="3" spans="1:8" ht="12.4" x14ac:dyDescent="0.4">
      <c r="A3" s="24" t="s">
        <v>99</v>
      </c>
      <c r="B3" s="29">
        <v>3000</v>
      </c>
    </row>
    <row r="4" spans="1:8" ht="12.4" x14ac:dyDescent="0.4">
      <c r="A4" s="24" t="s">
        <v>100</v>
      </c>
      <c r="B4" s="29">
        <v>4000</v>
      </c>
    </row>
    <row r="5" spans="1:8" ht="12.4" x14ac:dyDescent="0.4">
      <c r="A5" s="24" t="s">
        <v>58</v>
      </c>
      <c r="B5" s="36">
        <v>0.4</v>
      </c>
    </row>
    <row r="6" spans="1:8" ht="12.4" x14ac:dyDescent="0.4">
      <c r="A6" s="24" t="s">
        <v>37</v>
      </c>
      <c r="B6" s="36">
        <v>0.12</v>
      </c>
    </row>
    <row r="7" spans="1:8" ht="12.4" x14ac:dyDescent="0.4">
      <c r="B7" s="36"/>
    </row>
    <row r="8" spans="1:8" ht="15" x14ac:dyDescent="0.5">
      <c r="A8" s="41" t="s">
        <v>101</v>
      </c>
      <c r="B8" s="37"/>
    </row>
    <row r="9" spans="1:8" ht="44.25" customHeight="1" x14ac:dyDescent="0.4">
      <c r="A9" s="37" t="s">
        <v>15</v>
      </c>
      <c r="B9" s="61" t="s">
        <v>102</v>
      </c>
      <c r="C9" s="46" t="s">
        <v>103</v>
      </c>
      <c r="D9" s="46" t="s">
        <v>104</v>
      </c>
      <c r="H9" s="29"/>
    </row>
    <row r="10" spans="1:8" x14ac:dyDescent="0.2">
      <c r="A10" s="38">
        <v>1</v>
      </c>
      <c r="B10" s="44">
        <v>0.2</v>
      </c>
      <c r="C10" s="29">
        <f t="shared" ref="C10:C15" si="0">B10*$B$2</f>
        <v>2000</v>
      </c>
      <c r="D10" s="29">
        <f t="shared" ref="D10:D15" si="1">$B$5*C10</f>
        <v>800</v>
      </c>
      <c r="E10" s="24" t="e">
        <f ca="1">getformula(D10)</f>
        <v>#NAME?</v>
      </c>
    </row>
    <row r="11" spans="1:8" x14ac:dyDescent="0.2">
      <c r="A11" s="38">
        <v>2</v>
      </c>
      <c r="B11" s="44">
        <v>0.32</v>
      </c>
      <c r="C11" s="29">
        <f t="shared" si="0"/>
        <v>3200</v>
      </c>
      <c r="D11" s="29">
        <f t="shared" si="1"/>
        <v>1280</v>
      </c>
      <c r="E11" s="24" t="e">
        <f ca="1">getformula(D11)</f>
        <v>#NAME?</v>
      </c>
    </row>
    <row r="12" spans="1:8" x14ac:dyDescent="0.2">
      <c r="A12" s="38">
        <v>3</v>
      </c>
      <c r="B12" s="44">
        <v>0.192</v>
      </c>
      <c r="C12" s="29">
        <f t="shared" si="0"/>
        <v>1920</v>
      </c>
      <c r="D12" s="29">
        <f t="shared" si="1"/>
        <v>768</v>
      </c>
      <c r="E12" s="24" t="e">
        <f ca="1">getformula(D12)</f>
        <v>#NAME?</v>
      </c>
    </row>
    <row r="13" spans="1:8" x14ac:dyDescent="0.2">
      <c r="A13" s="38">
        <v>4</v>
      </c>
      <c r="B13" s="44">
        <v>0.1152</v>
      </c>
      <c r="C13" s="29">
        <f t="shared" si="0"/>
        <v>1152</v>
      </c>
      <c r="D13" s="29">
        <f t="shared" si="1"/>
        <v>460.8</v>
      </c>
      <c r="E13" s="24" t="e">
        <f ca="1">getformula(D13)</f>
        <v>#NAME?</v>
      </c>
    </row>
    <row r="14" spans="1:8" x14ac:dyDescent="0.2">
      <c r="A14" s="38">
        <v>5</v>
      </c>
      <c r="B14" s="44">
        <v>0.1152</v>
      </c>
      <c r="C14" s="29">
        <f t="shared" si="0"/>
        <v>1152</v>
      </c>
      <c r="D14" s="29">
        <f t="shared" si="1"/>
        <v>460.8</v>
      </c>
    </row>
    <row r="15" spans="1:8" x14ac:dyDescent="0.2">
      <c r="A15" s="38">
        <v>6</v>
      </c>
      <c r="B15" s="44">
        <f>1-SUM(B10:B14)</f>
        <v>5.7600000000000096E-2</v>
      </c>
      <c r="C15" s="29">
        <f t="shared" si="0"/>
        <v>576.00000000000091</v>
      </c>
      <c r="D15" s="29">
        <f t="shared" si="1"/>
        <v>230.40000000000038</v>
      </c>
    </row>
    <row r="16" spans="1:8" x14ac:dyDescent="0.2">
      <c r="A16" s="38"/>
      <c r="B16" s="29"/>
      <c r="C16" s="29"/>
      <c r="D16" s="29"/>
    </row>
    <row r="17" spans="1:7" ht="15.75" x14ac:dyDescent="0.25">
      <c r="A17" s="41" t="s">
        <v>105</v>
      </c>
      <c r="B17" s="29"/>
    </row>
    <row r="18" spans="1:7" x14ac:dyDescent="0.2">
      <c r="A18" s="27" t="s">
        <v>106</v>
      </c>
      <c r="B18" s="29">
        <f>B4</f>
        <v>4000</v>
      </c>
      <c r="C18" s="24" t="e">
        <f ca="1">getformula(B18)</f>
        <v>#NAME?</v>
      </c>
    </row>
    <row r="19" spans="1:7" x14ac:dyDescent="0.2">
      <c r="A19" s="27" t="s">
        <v>107</v>
      </c>
      <c r="B19" s="29">
        <f>B2-SUM(C10:C14)</f>
        <v>576</v>
      </c>
      <c r="C19" s="24" t="e">
        <f ca="1">getformula(B19)</f>
        <v>#NAME?</v>
      </c>
    </row>
    <row r="20" spans="1:7" x14ac:dyDescent="0.2">
      <c r="A20" s="24" t="s">
        <v>43</v>
      </c>
      <c r="B20" s="29">
        <f>B18-B19</f>
        <v>3424</v>
      </c>
      <c r="C20" s="24" t="e">
        <f ca="1">getformula(B20)</f>
        <v>#NAME?</v>
      </c>
    </row>
    <row r="21" spans="1:7" x14ac:dyDescent="0.2">
      <c r="A21" s="24" t="s">
        <v>45</v>
      </c>
      <c r="B21" s="29">
        <f>B5*B20</f>
        <v>1369.6000000000001</v>
      </c>
      <c r="C21" s="24" t="e">
        <f ca="1">getformula(B21)</f>
        <v>#NAME?</v>
      </c>
    </row>
    <row r="22" spans="1:7" x14ac:dyDescent="0.2">
      <c r="A22" s="24" t="s">
        <v>108</v>
      </c>
      <c r="B22" s="29">
        <f>B18-B21</f>
        <v>2630.3999999999996</v>
      </c>
      <c r="C22" s="24" t="e">
        <f ca="1">getformula(B22)</f>
        <v>#NAME?</v>
      </c>
    </row>
    <row r="23" spans="1:7" x14ac:dyDescent="0.2">
      <c r="B23" s="29"/>
    </row>
    <row r="25" spans="1:7" ht="15.75" x14ac:dyDescent="0.25">
      <c r="A25" s="62" t="s">
        <v>109</v>
      </c>
    </row>
    <row r="26" spans="1:7" ht="25.5" x14ac:dyDescent="0.2">
      <c r="A26" s="37" t="s">
        <v>15</v>
      </c>
      <c r="B26" s="25" t="s">
        <v>110</v>
      </c>
      <c r="C26" s="61" t="s">
        <v>111</v>
      </c>
      <c r="D26" s="46" t="s">
        <v>34</v>
      </c>
      <c r="E26" s="46" t="s">
        <v>40</v>
      </c>
      <c r="F26" s="46" t="s">
        <v>112</v>
      </c>
    </row>
    <row r="27" spans="1:7" x14ac:dyDescent="0.2">
      <c r="A27" s="37">
        <v>0</v>
      </c>
      <c r="B27" s="29">
        <f>-B2</f>
        <v>-10000</v>
      </c>
      <c r="C27" s="61"/>
      <c r="D27" s="46"/>
      <c r="E27" s="46"/>
      <c r="F27" s="63">
        <f>SUM(B27:E27)</f>
        <v>-10000</v>
      </c>
    </row>
    <row r="28" spans="1:7" x14ac:dyDescent="0.2">
      <c r="A28" s="38">
        <v>1</v>
      </c>
      <c r="C28" s="56">
        <f>$B$3*(1-$B$5)</f>
        <v>1800</v>
      </c>
      <c r="D28" s="29">
        <f>D10</f>
        <v>800</v>
      </c>
      <c r="F28" s="63">
        <f t="shared" ref="F28:F32" si="2">SUM(B28:E28)</f>
        <v>2600</v>
      </c>
      <c r="G28" s="24" t="e">
        <f ca="1">getformula(F28)</f>
        <v>#NAME?</v>
      </c>
    </row>
    <row r="29" spans="1:7" x14ac:dyDescent="0.2">
      <c r="A29" s="38">
        <v>2</v>
      </c>
      <c r="C29" s="56">
        <f>$B$3*(1-$B$5)</f>
        <v>1800</v>
      </c>
      <c r="D29" s="29">
        <f>D11</f>
        <v>1280</v>
      </c>
      <c r="F29" s="63">
        <f t="shared" si="2"/>
        <v>3080</v>
      </c>
    </row>
    <row r="30" spans="1:7" x14ac:dyDescent="0.2">
      <c r="A30" s="38">
        <v>3</v>
      </c>
      <c r="C30" s="56">
        <f>$B$3*(1-$B$5)</f>
        <v>1800</v>
      </c>
      <c r="D30" s="29">
        <f>D12</f>
        <v>768</v>
      </c>
      <c r="F30" s="63">
        <f t="shared" si="2"/>
        <v>2568</v>
      </c>
    </row>
    <row r="31" spans="1:7" x14ac:dyDescent="0.2">
      <c r="A31" s="38">
        <v>4</v>
      </c>
      <c r="C31" s="56">
        <f>$B$3*(1-$B$5)</f>
        <v>1800</v>
      </c>
      <c r="D31" s="29">
        <f>D13</f>
        <v>460.8</v>
      </c>
      <c r="F31" s="63">
        <f t="shared" si="2"/>
        <v>2260.8000000000002</v>
      </c>
    </row>
    <row r="32" spans="1:7" x14ac:dyDescent="0.2">
      <c r="A32" s="38">
        <v>5</v>
      </c>
      <c r="C32" s="56">
        <f>$B$3*(1-$B$5)</f>
        <v>1800</v>
      </c>
      <c r="D32" s="29">
        <f>D14</f>
        <v>460.8</v>
      </c>
      <c r="E32" s="29">
        <f>B22</f>
        <v>2630.3999999999996</v>
      </c>
      <c r="F32" s="63">
        <f t="shared" si="2"/>
        <v>4891.2</v>
      </c>
    </row>
    <row r="33" spans="1:4" x14ac:dyDescent="0.2">
      <c r="A33" s="38"/>
      <c r="B33" s="54"/>
      <c r="C33" s="29"/>
      <c r="D33" s="29"/>
    </row>
    <row r="34" spans="1:4" x14ac:dyDescent="0.2">
      <c r="A34" s="39" t="s">
        <v>113</v>
      </c>
      <c r="B34" s="64">
        <f>F27+NPV(B6,F28:F32)</f>
        <v>816.8148990190075</v>
      </c>
      <c r="C34" s="29" t="e">
        <f ca="1">getformula(B34)</f>
        <v>#NAME?</v>
      </c>
      <c r="D34" s="29"/>
    </row>
    <row r="35" spans="1:4" x14ac:dyDescent="0.2">
      <c r="A35" s="39" t="s">
        <v>18</v>
      </c>
      <c r="B35" s="40">
        <f>IRR(F27:F32)</f>
        <v>0.1501061162082753</v>
      </c>
      <c r="C35" s="29" t="e">
        <f ca="1">getformula(B35)</f>
        <v>#NAME?</v>
      </c>
      <c r="D35" s="29"/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27"/>
  <sheetViews>
    <sheetView workbookViewId="0">
      <selection activeCell="F27" sqref="F27"/>
    </sheetView>
  </sheetViews>
  <sheetFormatPr defaultColWidth="9.140625" defaultRowHeight="12.75" x14ac:dyDescent="0.2"/>
  <cols>
    <col min="1" max="1" width="19.42578125" style="24" customWidth="1"/>
    <col min="2" max="2" width="10.28515625" style="24" customWidth="1"/>
    <col min="3" max="3" width="31.28515625" style="24" customWidth="1"/>
    <col min="4" max="16384" width="9.140625" style="24"/>
  </cols>
  <sheetData>
    <row r="1" spans="1:3" ht="37.9" customHeight="1" x14ac:dyDescent="0.4">
      <c r="A1" s="96" t="s">
        <v>80</v>
      </c>
      <c r="B1" s="96"/>
      <c r="C1" s="96"/>
    </row>
    <row r="2" spans="1:3" s="27" customFormat="1" ht="12.4" x14ac:dyDescent="0.4">
      <c r="A2" s="27" t="s">
        <v>37</v>
      </c>
      <c r="B2" s="50">
        <v>0.12</v>
      </c>
    </row>
    <row r="4" spans="1:3" ht="12.4" x14ac:dyDescent="0.4">
      <c r="A4" s="37" t="s">
        <v>15</v>
      </c>
      <c r="B4" s="37" t="s">
        <v>30</v>
      </c>
    </row>
    <row r="5" spans="1:3" ht="12.4" x14ac:dyDescent="0.4">
      <c r="A5" s="38">
        <v>0</v>
      </c>
      <c r="B5" s="24">
        <v>-300</v>
      </c>
    </row>
    <row r="6" spans="1:3" ht="12.4" x14ac:dyDescent="0.4">
      <c r="A6" s="38">
        <v>1</v>
      </c>
      <c r="B6" s="24">
        <v>185</v>
      </c>
    </row>
    <row r="7" spans="1:3" ht="12.4" x14ac:dyDescent="0.4">
      <c r="A7" s="38">
        <v>2</v>
      </c>
      <c r="B7" s="24">
        <v>249</v>
      </c>
    </row>
    <row r="8" spans="1:3" x14ac:dyDescent="0.2">
      <c r="A8" s="38">
        <v>3</v>
      </c>
      <c r="B8" s="24">
        <v>155</v>
      </c>
    </row>
    <row r="9" spans="1:3" x14ac:dyDescent="0.2">
      <c r="A9" s="38">
        <v>4</v>
      </c>
      <c r="B9" s="24">
        <v>135</v>
      </c>
    </row>
    <row r="10" spans="1:3" x14ac:dyDescent="0.2">
      <c r="A10" s="38">
        <v>5</v>
      </c>
      <c r="B10" s="24">
        <v>420</v>
      </c>
    </row>
    <row r="12" spans="1:3" x14ac:dyDescent="0.2">
      <c r="A12" s="24" t="s">
        <v>66</v>
      </c>
      <c r="B12" s="51">
        <f>NPV(B2,B6:B10)+B5</f>
        <v>498.12000533631794</v>
      </c>
      <c r="C12" s="24" t="e">
        <f ca="1">"&lt;-- "&amp;_xlfn.FORMULATEXT(B12)</f>
        <v>#NAME?</v>
      </c>
    </row>
    <row r="13" spans="1:3" x14ac:dyDescent="0.2">
      <c r="A13" s="24" t="s">
        <v>18</v>
      </c>
      <c r="B13" s="52">
        <f>IRR(B5:B10)</f>
        <v>0.62667107314043546</v>
      </c>
      <c r="C13" s="24" t="e">
        <f ca="1">"&lt;-- "&amp;_xlfn.FORMULATEXT(B13)</f>
        <v>#NAME?</v>
      </c>
    </row>
    <row r="16" spans="1:3" x14ac:dyDescent="0.2">
      <c r="A16" s="27" t="s">
        <v>37</v>
      </c>
      <c r="B16" s="50">
        <v>0.12</v>
      </c>
    </row>
    <row r="18" spans="1:3" x14ac:dyDescent="0.2">
      <c r="A18" s="37" t="s">
        <v>15</v>
      </c>
      <c r="B18" s="37" t="s">
        <v>30</v>
      </c>
    </row>
    <row r="19" spans="1:3" ht="25.5" x14ac:dyDescent="0.2">
      <c r="A19" s="38">
        <v>0</v>
      </c>
      <c r="B19" s="24">
        <v>-500</v>
      </c>
      <c r="C19" s="53" t="s">
        <v>81</v>
      </c>
    </row>
    <row r="20" spans="1:3" x14ac:dyDescent="0.2">
      <c r="A20" s="38">
        <v>1</v>
      </c>
      <c r="B20" s="24">
        <v>185</v>
      </c>
    </row>
    <row r="21" spans="1:3" x14ac:dyDescent="0.2">
      <c r="A21" s="38">
        <v>2</v>
      </c>
      <c r="B21" s="24">
        <v>249</v>
      </c>
    </row>
    <row r="22" spans="1:3" x14ac:dyDescent="0.2">
      <c r="A22" s="38">
        <v>3</v>
      </c>
      <c r="B22" s="24">
        <v>155</v>
      </c>
    </row>
    <row r="23" spans="1:3" x14ac:dyDescent="0.2">
      <c r="A23" s="38">
        <v>4</v>
      </c>
      <c r="B23" s="24">
        <v>135</v>
      </c>
    </row>
    <row r="24" spans="1:3" x14ac:dyDescent="0.2">
      <c r="A24" s="38">
        <v>5</v>
      </c>
      <c r="B24" s="24">
        <v>420</v>
      </c>
    </row>
    <row r="26" spans="1:3" x14ac:dyDescent="0.2">
      <c r="A26" s="24" t="s">
        <v>66</v>
      </c>
      <c r="B26" s="51">
        <f>NPV(B16,B20:B24)+B19</f>
        <v>298.12000533631794</v>
      </c>
    </row>
    <row r="27" spans="1:3" x14ac:dyDescent="0.2">
      <c r="A27" s="24" t="s">
        <v>18</v>
      </c>
      <c r="B27" s="52">
        <f>IRR(B19:B24)</f>
        <v>0.31972377374381056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42"/>
  <sheetViews>
    <sheetView topLeftCell="A25" workbookViewId="0">
      <selection activeCell="C9" sqref="C9"/>
    </sheetView>
  </sheetViews>
  <sheetFormatPr defaultColWidth="9.140625" defaultRowHeight="12.75" x14ac:dyDescent="0.2"/>
  <cols>
    <col min="1" max="1" width="50.28515625" style="24" customWidth="1"/>
    <col min="2" max="2" width="12.85546875" style="24" customWidth="1"/>
    <col min="3" max="3" width="29.7109375" style="24" bestFit="1" customWidth="1"/>
    <col min="4" max="16384" width="9.140625" style="24"/>
  </cols>
  <sheetData>
    <row r="1" spans="1:3" ht="17.649999999999999" x14ac:dyDescent="0.6">
      <c r="A1" s="103" t="s">
        <v>82</v>
      </c>
      <c r="B1" s="103"/>
      <c r="C1" s="103"/>
    </row>
    <row r="2" spans="1:3" ht="12.4" x14ac:dyDescent="0.4">
      <c r="A2" s="24" t="s">
        <v>83</v>
      </c>
      <c r="B2" s="29">
        <v>8000</v>
      </c>
    </row>
    <row r="3" spans="1:3" ht="12.4" x14ac:dyDescent="0.4">
      <c r="A3" s="24" t="s">
        <v>84</v>
      </c>
      <c r="B3" s="29">
        <v>15000</v>
      </c>
    </row>
    <row r="4" spans="1:3" ht="12.4" x14ac:dyDescent="0.4">
      <c r="A4" s="24" t="s">
        <v>85</v>
      </c>
      <c r="B4" s="29">
        <v>5000</v>
      </c>
    </row>
    <row r="5" spans="1:3" ht="12.4" x14ac:dyDescent="0.4">
      <c r="A5" s="24" t="s">
        <v>86</v>
      </c>
      <c r="B5" s="29">
        <v>17000</v>
      </c>
    </row>
    <row r="6" spans="1:3" ht="12.4" x14ac:dyDescent="0.4">
      <c r="A6" s="24" t="s">
        <v>58</v>
      </c>
      <c r="B6" s="54">
        <v>0.4</v>
      </c>
    </row>
    <row r="7" spans="1:3" ht="12.4" x14ac:dyDescent="0.4">
      <c r="A7" s="24" t="s">
        <v>87</v>
      </c>
      <c r="B7" s="55">
        <v>3000</v>
      </c>
    </row>
    <row r="8" spans="1:3" ht="12.4" x14ac:dyDescent="0.4">
      <c r="A8" s="24" t="s">
        <v>88</v>
      </c>
      <c r="B8" s="54"/>
    </row>
    <row r="9" spans="1:3" ht="12.4" x14ac:dyDescent="0.4">
      <c r="A9" s="24" t="s">
        <v>89</v>
      </c>
      <c r="B9" s="56">
        <v>25000</v>
      </c>
    </row>
    <row r="10" spans="1:3" ht="12.4" x14ac:dyDescent="0.4">
      <c r="A10" s="24" t="s">
        <v>90</v>
      </c>
      <c r="B10" s="56">
        <v>33000</v>
      </c>
    </row>
    <row r="11" spans="1:3" ht="12.4" x14ac:dyDescent="0.4">
      <c r="A11" s="24" t="s">
        <v>37</v>
      </c>
      <c r="B11" s="54">
        <v>0.12</v>
      </c>
    </row>
    <row r="12" spans="1:3" ht="12.4" x14ac:dyDescent="0.4">
      <c r="B12" s="29"/>
    </row>
    <row r="13" spans="1:3" ht="12.4" x14ac:dyDescent="0.4">
      <c r="A13" s="25" t="s">
        <v>91</v>
      </c>
      <c r="B13" s="29"/>
    </row>
    <row r="14" spans="1:3" ht="12.4" x14ac:dyDescent="0.4">
      <c r="A14" s="57" t="s">
        <v>15</v>
      </c>
      <c r="B14" s="38" t="s">
        <v>30</v>
      </c>
    </row>
    <row r="15" spans="1:3" ht="12.4" x14ac:dyDescent="0.4">
      <c r="A15" s="57">
        <v>0</v>
      </c>
      <c r="B15" s="29">
        <f>-B5*(1-B6)</f>
        <v>-10200</v>
      </c>
      <c r="C15" s="24" t="e">
        <f ca="1">getformula(B15)</f>
        <v>#NAME?</v>
      </c>
    </row>
    <row r="16" spans="1:3" ht="12.4" x14ac:dyDescent="0.4">
      <c r="A16" s="57">
        <v>1</v>
      </c>
      <c r="B16" s="29">
        <f>-$B$9*(1-$B$6)+$B$6*$B$7</f>
        <v>-13800</v>
      </c>
      <c r="C16" s="24" t="e">
        <f ca="1">getformula(B16)</f>
        <v>#NAME?</v>
      </c>
    </row>
    <row r="17" spans="1:3" ht="12.4" x14ac:dyDescent="0.4">
      <c r="A17" s="57">
        <v>2</v>
      </c>
      <c r="B17" s="29">
        <f>-$B$9*(1-$B$6)+$B$6*$B$7</f>
        <v>-13800</v>
      </c>
    </row>
    <row r="18" spans="1:3" ht="12.4" x14ac:dyDescent="0.4">
      <c r="A18" s="57">
        <v>3</v>
      </c>
      <c r="B18" s="29">
        <f>-$B$9*(1-$B$6)+$B$6*$B$7</f>
        <v>-13800</v>
      </c>
    </row>
    <row r="19" spans="1:3" ht="12.4" x14ac:dyDescent="0.4">
      <c r="A19" s="57">
        <v>4</v>
      </c>
      <c r="B19" s="29">
        <f>-$B$9*(1-$B$6)+$B$6*$B$7</f>
        <v>-13800</v>
      </c>
    </row>
    <row r="20" spans="1:3" ht="12.4" x14ac:dyDescent="0.4">
      <c r="A20" s="58">
        <v>5</v>
      </c>
      <c r="B20" s="29">
        <f>-$B$9*(1-$B$6)+$B$6*$B$7</f>
        <v>-13800</v>
      </c>
    </row>
    <row r="21" spans="1:3" ht="12.4" x14ac:dyDescent="0.4">
      <c r="A21" s="32" t="s">
        <v>92</v>
      </c>
      <c r="B21" s="32">
        <f>B15+NPV(B11,B16:B20)</f>
        <v>-59945.911592361059</v>
      </c>
      <c r="C21" s="24" t="e">
        <f ca="1">getformula(B21)</f>
        <v>#NAME?</v>
      </c>
    </row>
    <row r="22" spans="1:3" ht="12.4" x14ac:dyDescent="0.4">
      <c r="A22" s="38"/>
      <c r="B22" s="29"/>
    </row>
    <row r="23" spans="1:3" ht="12.4" x14ac:dyDescent="0.4">
      <c r="A23" s="59" t="s">
        <v>93</v>
      </c>
      <c r="B23" s="29"/>
    </row>
    <row r="24" spans="1:3" ht="12.4" x14ac:dyDescent="0.4">
      <c r="A24" s="57" t="s">
        <v>15</v>
      </c>
      <c r="B24" s="38" t="s">
        <v>30</v>
      </c>
    </row>
    <row r="25" spans="1:3" ht="12.4" x14ac:dyDescent="0.4">
      <c r="A25" s="57">
        <v>0</v>
      </c>
      <c r="B25" s="29">
        <f>B4+B6*(B3-B4)</f>
        <v>9000</v>
      </c>
      <c r="C25" s="24" t="e">
        <f ca="1">getformula(B25)</f>
        <v>#NAME?</v>
      </c>
    </row>
    <row r="26" spans="1:3" ht="12.4" x14ac:dyDescent="0.4">
      <c r="A26" s="57">
        <v>1</v>
      </c>
      <c r="B26" s="29">
        <f>-(1-$B$6)*$B$10</f>
        <v>-19800</v>
      </c>
      <c r="C26" s="24" t="e">
        <f ca="1">getformula(B26)</f>
        <v>#NAME?</v>
      </c>
    </row>
    <row r="27" spans="1:3" ht="12.4" x14ac:dyDescent="0.4">
      <c r="A27" s="57">
        <v>2</v>
      </c>
      <c r="B27" s="29">
        <f>-(1-$B$6)*$B$10</f>
        <v>-19800</v>
      </c>
    </row>
    <row r="28" spans="1:3" ht="12.4" x14ac:dyDescent="0.4">
      <c r="A28" s="57">
        <v>3</v>
      </c>
      <c r="B28" s="29">
        <f>-(1-$B$6)*$B$10</f>
        <v>-19800</v>
      </c>
    </row>
    <row r="29" spans="1:3" ht="12.4" x14ac:dyDescent="0.4">
      <c r="A29" s="57">
        <v>4</v>
      </c>
      <c r="B29" s="29">
        <f>-(1-$B$6)*$B$10</f>
        <v>-19800</v>
      </c>
    </row>
    <row r="30" spans="1:3" ht="12.4" x14ac:dyDescent="0.4">
      <c r="A30" s="58">
        <v>5</v>
      </c>
      <c r="B30" s="29">
        <f>-(1-$B$6)*$B$10</f>
        <v>-19800</v>
      </c>
    </row>
    <row r="31" spans="1:3" ht="12.4" x14ac:dyDescent="0.4">
      <c r="A31" s="32" t="s">
        <v>94</v>
      </c>
      <c r="B31" s="32">
        <f>B25+NPV(B11,B26:B30)</f>
        <v>-62374.568806431082</v>
      </c>
      <c r="C31" s="24" t="e">
        <f ca="1">getformula(B31)</f>
        <v>#NAME?</v>
      </c>
    </row>
    <row r="34" spans="1:3" x14ac:dyDescent="0.2">
      <c r="A34" s="25" t="s">
        <v>95</v>
      </c>
    </row>
    <row r="35" spans="1:3" x14ac:dyDescent="0.2">
      <c r="A35" s="57" t="s">
        <v>15</v>
      </c>
      <c r="B35" s="38" t="s">
        <v>30</v>
      </c>
    </row>
    <row r="36" spans="1:3" x14ac:dyDescent="0.2">
      <c r="A36" s="57">
        <v>0</v>
      </c>
      <c r="B36" s="29">
        <f t="shared" ref="B36:B41" si="0">B15-B25</f>
        <v>-19200</v>
      </c>
      <c r="C36" s="24" t="e">
        <f ca="1">getformula(B36)</f>
        <v>#NAME?</v>
      </c>
    </row>
    <row r="37" spans="1:3" x14ac:dyDescent="0.2">
      <c r="A37" s="57">
        <v>1</v>
      </c>
      <c r="B37" s="29">
        <f t="shared" si="0"/>
        <v>6000</v>
      </c>
      <c r="C37" s="24" t="e">
        <f ca="1">getformula(B37)</f>
        <v>#NAME?</v>
      </c>
    </row>
    <row r="38" spans="1:3" x14ac:dyDescent="0.2">
      <c r="A38" s="57">
        <v>2</v>
      </c>
      <c r="B38" s="29">
        <f t="shared" si="0"/>
        <v>6000</v>
      </c>
    </row>
    <row r="39" spans="1:3" x14ac:dyDescent="0.2">
      <c r="A39" s="57">
        <v>3</v>
      </c>
      <c r="B39" s="29">
        <f t="shared" si="0"/>
        <v>6000</v>
      </c>
    </row>
    <row r="40" spans="1:3" x14ac:dyDescent="0.2">
      <c r="A40" s="57">
        <v>4</v>
      </c>
      <c r="B40" s="29">
        <f t="shared" si="0"/>
        <v>6000</v>
      </c>
    </row>
    <row r="41" spans="1:3" x14ac:dyDescent="0.2">
      <c r="A41" s="58">
        <v>5</v>
      </c>
      <c r="B41" s="29">
        <f t="shared" si="0"/>
        <v>6000</v>
      </c>
    </row>
    <row r="42" spans="1:3" x14ac:dyDescent="0.2">
      <c r="A42" s="32" t="s">
        <v>96</v>
      </c>
      <c r="B42" s="32">
        <f>B36+NPV(B11,B37:B41)</f>
        <v>2428.6572140700264</v>
      </c>
      <c r="C42" s="24" t="e">
        <f ca="1">getformula(B42)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45"/>
  <sheetViews>
    <sheetView workbookViewId="0">
      <selection sqref="A1:E1"/>
    </sheetView>
  </sheetViews>
  <sheetFormatPr defaultColWidth="9.140625" defaultRowHeight="12.75" x14ac:dyDescent="0.2"/>
  <cols>
    <col min="1" max="1" width="18.140625" style="24" customWidth="1"/>
    <col min="2" max="2" width="9.7109375" style="24" bestFit="1" customWidth="1"/>
    <col min="3" max="3" width="22.140625" style="24" customWidth="1"/>
    <col min="4" max="16384" width="9.140625" style="24"/>
  </cols>
  <sheetData>
    <row r="1" spans="1:3" ht="38.25" customHeight="1" x14ac:dyDescent="0.4">
      <c r="A1" s="96" t="s">
        <v>115</v>
      </c>
      <c r="B1" s="96"/>
      <c r="C1" s="96"/>
    </row>
    <row r="2" spans="1:3" ht="14.45" x14ac:dyDescent="0.55000000000000004">
      <c r="A2" s="24" t="s">
        <v>116</v>
      </c>
      <c r="B2" s="65">
        <v>10000</v>
      </c>
    </row>
    <row r="3" spans="1:3" ht="14.45" x14ac:dyDescent="0.55000000000000004">
      <c r="A3" s="27" t="s">
        <v>117</v>
      </c>
      <c r="B3" s="65">
        <v>3000</v>
      </c>
    </row>
    <row r="4" spans="1:3" ht="14.45" x14ac:dyDescent="0.55000000000000004">
      <c r="A4" s="24" t="s">
        <v>37</v>
      </c>
      <c r="B4" s="71">
        <v>0.15</v>
      </c>
    </row>
    <row r="5" spans="1:3" ht="12.4" x14ac:dyDescent="0.4">
      <c r="B5" s="29"/>
    </row>
    <row r="6" spans="1:3" ht="12.4" x14ac:dyDescent="0.4">
      <c r="A6" s="37" t="s">
        <v>15</v>
      </c>
      <c r="B6" s="25" t="s">
        <v>30</v>
      </c>
    </row>
    <row r="7" spans="1:3" ht="14.45" x14ac:dyDescent="0.55000000000000004">
      <c r="A7" s="38">
        <v>0</v>
      </c>
      <c r="B7" s="65">
        <f>-B2</f>
        <v>-10000</v>
      </c>
    </row>
    <row r="8" spans="1:3" ht="15" x14ac:dyDescent="0.25">
      <c r="A8" s="38">
        <v>1</v>
      </c>
      <c r="B8" s="65">
        <f>$B$3</f>
        <v>3000</v>
      </c>
    </row>
    <row r="9" spans="1:3" ht="15" x14ac:dyDescent="0.25">
      <c r="A9" s="38">
        <v>2</v>
      </c>
      <c r="B9" s="65">
        <f>$B$3</f>
        <v>3000</v>
      </c>
    </row>
    <row r="10" spans="1:3" ht="15" x14ac:dyDescent="0.25">
      <c r="A10" s="38">
        <v>3</v>
      </c>
      <c r="B10" s="65">
        <f>$B$3</f>
        <v>3000</v>
      </c>
    </row>
    <row r="11" spans="1:3" ht="15" x14ac:dyDescent="0.25">
      <c r="A11" s="38">
        <v>4</v>
      </c>
      <c r="B11" s="65">
        <f>$B$3</f>
        <v>3000</v>
      </c>
    </row>
    <row r="12" spans="1:3" ht="15" x14ac:dyDescent="0.25">
      <c r="A12" s="38">
        <v>5</v>
      </c>
      <c r="B12" s="65">
        <f>$B$3</f>
        <v>3000</v>
      </c>
    </row>
    <row r="14" spans="1:3" ht="26.25" x14ac:dyDescent="0.25">
      <c r="A14" s="30" t="s">
        <v>118</v>
      </c>
      <c r="B14" s="72">
        <f>B7+NPV(B4,B8:B12)</f>
        <v>56.465294034207545</v>
      </c>
      <c r="C14" s="24" t="e">
        <f ca="1">getformula(B14)</f>
        <v>#NAME?</v>
      </c>
    </row>
    <row r="31" spans="1:2" ht="15.75" x14ac:dyDescent="0.25">
      <c r="A31" s="62" t="s">
        <v>119</v>
      </c>
    </row>
    <row r="32" spans="1:2" ht="15" x14ac:dyDescent="0.25">
      <c r="A32" s="24" t="s">
        <v>116</v>
      </c>
      <c r="B32" s="65">
        <v>10000</v>
      </c>
    </row>
    <row r="33" spans="1:3" ht="15" x14ac:dyDescent="0.25">
      <c r="A33" s="24" t="s">
        <v>120</v>
      </c>
      <c r="B33" s="65">
        <v>3000</v>
      </c>
    </row>
    <row r="34" spans="1:3" ht="15" x14ac:dyDescent="0.25">
      <c r="A34" s="24" t="s">
        <v>37</v>
      </c>
      <c r="B34" s="71">
        <v>0.15</v>
      </c>
    </row>
    <row r="35" spans="1:3" x14ac:dyDescent="0.2">
      <c r="B35" s="29"/>
    </row>
    <row r="36" spans="1:3" x14ac:dyDescent="0.2">
      <c r="A36" s="37" t="s">
        <v>15</v>
      </c>
      <c r="B36" s="25" t="s">
        <v>51</v>
      </c>
      <c r="C36" s="25" t="s">
        <v>121</v>
      </c>
    </row>
    <row r="37" spans="1:3" ht="15" x14ac:dyDescent="0.25">
      <c r="A37" s="38">
        <v>0</v>
      </c>
      <c r="B37" s="65">
        <f>-B32</f>
        <v>-10000</v>
      </c>
      <c r="C37" s="65">
        <f>B37</f>
        <v>-10000</v>
      </c>
    </row>
    <row r="38" spans="1:3" ht="15" x14ac:dyDescent="0.25">
      <c r="A38" s="38">
        <v>1</v>
      </c>
      <c r="B38" s="65">
        <f>$B$3</f>
        <v>3000</v>
      </c>
      <c r="C38" s="65">
        <f>B38/(1+$B$34)^(A38-0.5)</f>
        <v>2797.5144247209414</v>
      </c>
    </row>
    <row r="39" spans="1:3" ht="15" x14ac:dyDescent="0.25">
      <c r="A39" s="38">
        <v>2</v>
      </c>
      <c r="B39" s="65">
        <f>$B$3</f>
        <v>3000</v>
      </c>
      <c r="C39" s="65">
        <f>B39/(1+$B$34)^(A39-0.5)</f>
        <v>2432.6212388877752</v>
      </c>
    </row>
    <row r="40" spans="1:3" ht="15" x14ac:dyDescent="0.25">
      <c r="A40" s="38">
        <v>3</v>
      </c>
      <c r="B40" s="65">
        <f>$B$3</f>
        <v>3000</v>
      </c>
      <c r="C40" s="65">
        <f>B40/(1+$B$34)^(A40-0.5)</f>
        <v>2115.3228164241527</v>
      </c>
    </row>
    <row r="41" spans="1:3" ht="15" x14ac:dyDescent="0.25">
      <c r="A41" s="38">
        <v>4</v>
      </c>
      <c r="B41" s="65">
        <f>$B$3</f>
        <v>3000</v>
      </c>
      <c r="C41" s="65">
        <f>B41/(1+$B$34)^(A41-0.5)</f>
        <v>1839.4111447166545</v>
      </c>
    </row>
    <row r="42" spans="1:3" ht="15" x14ac:dyDescent="0.25">
      <c r="A42" s="38">
        <v>5</v>
      </c>
      <c r="B42" s="65">
        <f>$B$3</f>
        <v>3000</v>
      </c>
      <c r="C42" s="65">
        <f>B42/(1+$B$34)^(A42-0.5)</f>
        <v>1599.487951927526</v>
      </c>
    </row>
    <row r="43" spans="1:3" x14ac:dyDescent="0.2">
      <c r="A43" s="38"/>
      <c r="B43" s="29"/>
      <c r="C43" s="51">
        <f>SUM(C37:C42)</f>
        <v>784.35757667704979</v>
      </c>
    </row>
    <row r="45" spans="1:3" x14ac:dyDescent="0.2">
      <c r="A45" s="24" t="s">
        <v>122</v>
      </c>
      <c r="B45" s="67">
        <f>+B37+NPV(B34,B38:B42)*(1+B34)^0.5</f>
        <v>784.35757667705002</v>
      </c>
      <c r="C45" s="24" t="e">
        <f ca="1">getformula(B45)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C30"/>
  <sheetViews>
    <sheetView workbookViewId="0">
      <selection activeCell="C32" sqref="C32"/>
    </sheetView>
  </sheetViews>
  <sheetFormatPr defaultColWidth="9.140625" defaultRowHeight="12.75" x14ac:dyDescent="0.2"/>
  <cols>
    <col min="1" max="1" width="22.28515625" style="24" customWidth="1"/>
    <col min="2" max="2" width="12.28515625" style="24" customWidth="1"/>
    <col min="3" max="3" width="22.85546875" style="24" bestFit="1" customWidth="1"/>
    <col min="4" max="4" width="22.28515625" style="24" bestFit="1" customWidth="1"/>
    <col min="5" max="16384" width="9.140625" style="24"/>
  </cols>
  <sheetData>
    <row r="1" spans="1:3" ht="39.75" customHeight="1" x14ac:dyDescent="0.4">
      <c r="A1" s="96" t="s">
        <v>123</v>
      </c>
      <c r="B1" s="101"/>
      <c r="C1" s="101"/>
    </row>
    <row r="2" spans="1:3" ht="12.4" x14ac:dyDescent="0.4">
      <c r="A2" s="24" t="s">
        <v>116</v>
      </c>
      <c r="B2" s="68">
        <v>10000</v>
      </c>
    </row>
    <row r="3" spans="1:3" ht="12.4" x14ac:dyDescent="0.4">
      <c r="A3" s="27" t="s">
        <v>117</v>
      </c>
      <c r="B3" s="68">
        <v>3000</v>
      </c>
    </row>
    <row r="4" spans="1:3" ht="12.4" x14ac:dyDescent="0.4">
      <c r="A4" s="24" t="s">
        <v>37</v>
      </c>
      <c r="B4" s="54">
        <v>0.15</v>
      </c>
    </row>
    <row r="5" spans="1:3" ht="12.4" x14ac:dyDescent="0.4">
      <c r="A5" s="24" t="s">
        <v>124</v>
      </c>
      <c r="B5" s="44">
        <f>(1+B4)^(1/4)-1</f>
        <v>3.5558076341622114E-2</v>
      </c>
      <c r="C5" s="24" t="e">
        <f ca="1">getformula(B5)</f>
        <v>#NAME?</v>
      </c>
    </row>
    <row r="7" spans="1:3" ht="24.6" x14ac:dyDescent="0.4">
      <c r="A7" s="37" t="s">
        <v>125</v>
      </c>
      <c r="B7" s="46" t="s">
        <v>126</v>
      </c>
    </row>
    <row r="8" spans="1:3" x14ac:dyDescent="0.2">
      <c r="A8" s="38">
        <v>0</v>
      </c>
      <c r="B8" s="68">
        <f>-B2</f>
        <v>-10000</v>
      </c>
    </row>
    <row r="9" spans="1:3" x14ac:dyDescent="0.2">
      <c r="A9" s="38">
        <v>1</v>
      </c>
      <c r="B9" s="68">
        <f>$B$3/4</f>
        <v>750</v>
      </c>
    </row>
    <row r="10" spans="1:3" x14ac:dyDescent="0.2">
      <c r="A10" s="38">
        <v>2</v>
      </c>
      <c r="B10" s="68">
        <f t="shared" ref="B10:B28" si="0">$B$3/4</f>
        <v>750</v>
      </c>
    </row>
    <row r="11" spans="1:3" x14ac:dyDescent="0.2">
      <c r="A11" s="38">
        <v>3</v>
      </c>
      <c r="B11" s="68">
        <f t="shared" si="0"/>
        <v>750</v>
      </c>
    </row>
    <row r="12" spans="1:3" x14ac:dyDescent="0.2">
      <c r="A12" s="38">
        <v>4</v>
      </c>
      <c r="B12" s="68">
        <f t="shared" si="0"/>
        <v>750</v>
      </c>
    </row>
    <row r="13" spans="1:3" x14ac:dyDescent="0.2">
      <c r="A13" s="38">
        <v>5</v>
      </c>
      <c r="B13" s="68">
        <f t="shared" si="0"/>
        <v>750</v>
      </c>
    </row>
    <row r="14" spans="1:3" x14ac:dyDescent="0.2">
      <c r="A14" s="38">
        <v>6</v>
      </c>
      <c r="B14" s="68">
        <f t="shared" si="0"/>
        <v>750</v>
      </c>
    </row>
    <row r="15" spans="1:3" x14ac:dyDescent="0.2">
      <c r="A15" s="38">
        <v>7</v>
      </c>
      <c r="B15" s="68">
        <f t="shared" si="0"/>
        <v>750</v>
      </c>
    </row>
    <row r="16" spans="1:3" x14ac:dyDescent="0.2">
      <c r="A16" s="38">
        <v>8</v>
      </c>
      <c r="B16" s="68">
        <f t="shared" si="0"/>
        <v>750</v>
      </c>
    </row>
    <row r="17" spans="1:3" x14ac:dyDescent="0.2">
      <c r="A17" s="38">
        <v>9</v>
      </c>
      <c r="B17" s="68">
        <f t="shared" si="0"/>
        <v>750</v>
      </c>
    </row>
    <row r="18" spans="1:3" x14ac:dyDescent="0.2">
      <c r="A18" s="38">
        <v>10</v>
      </c>
      <c r="B18" s="68">
        <f t="shared" si="0"/>
        <v>750</v>
      </c>
    </row>
    <row r="19" spans="1:3" x14ac:dyDescent="0.2">
      <c r="A19" s="38">
        <v>11</v>
      </c>
      <c r="B19" s="68">
        <f t="shared" si="0"/>
        <v>750</v>
      </c>
    </row>
    <row r="20" spans="1:3" x14ac:dyDescent="0.2">
      <c r="A20" s="38">
        <v>12</v>
      </c>
      <c r="B20" s="68">
        <f t="shared" si="0"/>
        <v>750</v>
      </c>
    </row>
    <row r="21" spans="1:3" x14ac:dyDescent="0.2">
      <c r="A21" s="38">
        <v>13</v>
      </c>
      <c r="B21" s="68">
        <f t="shared" si="0"/>
        <v>750</v>
      </c>
    </row>
    <row r="22" spans="1:3" x14ac:dyDescent="0.2">
      <c r="A22" s="38">
        <v>14</v>
      </c>
      <c r="B22" s="68">
        <f t="shared" si="0"/>
        <v>750</v>
      </c>
    </row>
    <row r="23" spans="1:3" x14ac:dyDescent="0.2">
      <c r="A23" s="38">
        <v>15</v>
      </c>
      <c r="B23" s="68">
        <f t="shared" si="0"/>
        <v>750</v>
      </c>
    </row>
    <row r="24" spans="1:3" x14ac:dyDescent="0.2">
      <c r="A24" s="38">
        <v>16</v>
      </c>
      <c r="B24" s="68">
        <f t="shared" si="0"/>
        <v>750</v>
      </c>
    </row>
    <row r="25" spans="1:3" x14ac:dyDescent="0.2">
      <c r="A25" s="38">
        <v>17</v>
      </c>
      <c r="B25" s="68">
        <f t="shared" si="0"/>
        <v>750</v>
      </c>
    </row>
    <row r="26" spans="1:3" x14ac:dyDescent="0.2">
      <c r="A26" s="38">
        <v>18</v>
      </c>
      <c r="B26" s="68">
        <f t="shared" si="0"/>
        <v>750</v>
      </c>
    </row>
    <row r="27" spans="1:3" x14ac:dyDescent="0.2">
      <c r="A27" s="38">
        <v>19</v>
      </c>
      <c r="B27" s="68">
        <f t="shared" si="0"/>
        <v>750</v>
      </c>
    </row>
    <row r="28" spans="1:3" x14ac:dyDescent="0.2">
      <c r="A28" s="38">
        <v>20</v>
      </c>
      <c r="B28" s="68">
        <f t="shared" si="0"/>
        <v>750</v>
      </c>
    </row>
    <row r="30" spans="1:3" x14ac:dyDescent="0.2">
      <c r="A30" s="24" t="s">
        <v>127</v>
      </c>
      <c r="B30" s="67">
        <f>B8+NPV(B5,B9:B28)</f>
        <v>605.67632802037224</v>
      </c>
      <c r="C30" s="24" t="e">
        <f ca="1">getformula(B30)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D45"/>
  <sheetViews>
    <sheetView workbookViewId="0">
      <selection activeCell="B16" sqref="B16"/>
    </sheetView>
  </sheetViews>
  <sheetFormatPr defaultColWidth="9.140625" defaultRowHeight="12.75" x14ac:dyDescent="0.2"/>
  <cols>
    <col min="1" max="1" width="18.140625" style="24" customWidth="1"/>
    <col min="2" max="2" width="9.7109375" style="24" bestFit="1" customWidth="1"/>
    <col min="3" max="3" width="17.5703125" style="24" customWidth="1"/>
    <col min="4" max="4" width="23.42578125" style="24" bestFit="1" customWidth="1"/>
    <col min="5" max="16384" width="9.140625" style="24"/>
  </cols>
  <sheetData>
    <row r="1" spans="1:4" ht="21.6" customHeight="1" x14ac:dyDescent="0.4">
      <c r="A1" s="96" t="s">
        <v>128</v>
      </c>
      <c r="B1" s="96"/>
      <c r="C1" s="96"/>
      <c r="D1" s="96"/>
    </row>
    <row r="2" spans="1:4" ht="12.4" x14ac:dyDescent="0.4">
      <c r="A2" s="24" t="s">
        <v>116</v>
      </c>
      <c r="B2" s="68">
        <v>10000</v>
      </c>
    </row>
    <row r="3" spans="1:4" ht="12.4" x14ac:dyDescent="0.4">
      <c r="A3" s="27" t="s">
        <v>117</v>
      </c>
      <c r="B3" s="68">
        <v>3000</v>
      </c>
    </row>
    <row r="4" spans="1:4" ht="12.4" x14ac:dyDescent="0.4">
      <c r="A4" s="24" t="s">
        <v>37</v>
      </c>
      <c r="B4" s="54">
        <v>0.15</v>
      </c>
    </row>
    <row r="5" spans="1:4" ht="12.4" x14ac:dyDescent="0.4">
      <c r="B5" s="29"/>
    </row>
    <row r="6" spans="1:4" ht="12.4" x14ac:dyDescent="0.4">
      <c r="A6" s="37" t="s">
        <v>15</v>
      </c>
      <c r="B6" s="25" t="s">
        <v>30</v>
      </c>
      <c r="C6" s="37" t="s">
        <v>121</v>
      </c>
    </row>
    <row r="7" spans="1:4" ht="12.4" x14ac:dyDescent="0.4">
      <c r="A7" s="38">
        <v>0</v>
      </c>
      <c r="B7" s="68">
        <f>-B2</f>
        <v>-10000</v>
      </c>
      <c r="C7" s="51">
        <f>B7</f>
        <v>-10000</v>
      </c>
      <c r="D7" s="24" t="e">
        <f ca="1">getformula(C7)</f>
        <v>#NAME?</v>
      </c>
    </row>
    <row r="8" spans="1:4" ht="12.4" x14ac:dyDescent="0.4">
      <c r="A8" s="38">
        <v>1</v>
      </c>
      <c r="B8" s="68">
        <f>$B$3</f>
        <v>3000</v>
      </c>
      <c r="C8" s="51">
        <f>B8/(1+$B$4)^(A8-0.5)</f>
        <v>2797.5144247209414</v>
      </c>
      <c r="D8" s="24" t="e">
        <f ca="1">getformula(C8)</f>
        <v>#NAME?</v>
      </c>
    </row>
    <row r="9" spans="1:4" ht="12.4" x14ac:dyDescent="0.4">
      <c r="A9" s="38">
        <v>2</v>
      </c>
      <c r="B9" s="68">
        <f>$B$3</f>
        <v>3000</v>
      </c>
      <c r="C9" s="51">
        <f>B9/(1+$B$4)^(A9-0.5)</f>
        <v>2432.6212388877752</v>
      </c>
      <c r="D9" s="24" t="e">
        <f ca="1">getformula(C9)</f>
        <v>#NAME?</v>
      </c>
    </row>
    <row r="10" spans="1:4" x14ac:dyDescent="0.2">
      <c r="A10" s="38">
        <v>3</v>
      </c>
      <c r="B10" s="68">
        <f>$B$3</f>
        <v>3000</v>
      </c>
      <c r="C10" s="51">
        <f>B10/(1+$B$4)^(A10-0.5)</f>
        <v>2115.3228164241527</v>
      </c>
    </row>
    <row r="11" spans="1:4" x14ac:dyDescent="0.2">
      <c r="A11" s="38">
        <v>4</v>
      </c>
      <c r="B11" s="68">
        <f>$B$3</f>
        <v>3000</v>
      </c>
      <c r="C11" s="51">
        <f>B11/(1+$B$4)^(A11-0.5)</f>
        <v>1839.4111447166545</v>
      </c>
    </row>
    <row r="12" spans="1:4" x14ac:dyDescent="0.2">
      <c r="A12" s="38">
        <v>5</v>
      </c>
      <c r="B12" s="68">
        <f>$B$3</f>
        <v>3000</v>
      </c>
      <c r="C12" s="51">
        <f>B12/(1+$B$4)^(A12-0.5)</f>
        <v>1599.487951927526</v>
      </c>
    </row>
    <row r="14" spans="1:4" x14ac:dyDescent="0.2">
      <c r="A14" s="31" t="s">
        <v>122</v>
      </c>
      <c r="B14" s="67">
        <f>SUM(C7:C12)</f>
        <v>784.35757667704979</v>
      </c>
      <c r="C14" s="24" t="e">
        <f ca="1">getformula(B14)</f>
        <v>#NAME?</v>
      </c>
    </row>
    <row r="15" spans="1:4" x14ac:dyDescent="0.2">
      <c r="B15" s="73">
        <f>B7+NPV(B4,B8:B12)*(1+B4)^0.5</f>
        <v>784.35757667705002</v>
      </c>
      <c r="C15" s="24" t="e">
        <f ca="1">getformula(B15)</f>
        <v>#NAME?</v>
      </c>
    </row>
    <row r="31" spans="1:2" ht="15.75" x14ac:dyDescent="0.25">
      <c r="A31" s="62" t="s">
        <v>119</v>
      </c>
    </row>
    <row r="32" spans="1:2" x14ac:dyDescent="0.2">
      <c r="A32" s="24" t="s">
        <v>116</v>
      </c>
      <c r="B32" s="68">
        <v>10000</v>
      </c>
    </row>
    <row r="33" spans="1:3" x14ac:dyDescent="0.2">
      <c r="A33" s="24" t="s">
        <v>120</v>
      </c>
      <c r="B33" s="68">
        <v>3000</v>
      </c>
    </row>
    <row r="34" spans="1:3" x14ac:dyDescent="0.2">
      <c r="A34" s="24" t="s">
        <v>37</v>
      </c>
      <c r="B34" s="54">
        <v>0.15</v>
      </c>
    </row>
    <row r="35" spans="1:3" x14ac:dyDescent="0.2">
      <c r="B35" s="29"/>
    </row>
    <row r="36" spans="1:3" x14ac:dyDescent="0.2">
      <c r="A36" s="37" t="s">
        <v>15</v>
      </c>
      <c r="B36" s="25" t="s">
        <v>51</v>
      </c>
      <c r="C36" s="25" t="s">
        <v>121</v>
      </c>
    </row>
    <row r="37" spans="1:3" x14ac:dyDescent="0.2">
      <c r="A37" s="38">
        <v>0</v>
      </c>
      <c r="B37" s="68">
        <f>-B32</f>
        <v>-10000</v>
      </c>
      <c r="C37" s="68">
        <f>B37</f>
        <v>-10000</v>
      </c>
    </row>
    <row r="38" spans="1:3" x14ac:dyDescent="0.2">
      <c r="A38" s="38">
        <v>1</v>
      </c>
      <c r="B38" s="68">
        <f>$B$3</f>
        <v>3000</v>
      </c>
      <c r="C38" s="68">
        <f>B38/(1+$B$34)^(A38-0.5)</f>
        <v>2797.5144247209414</v>
      </c>
    </row>
    <row r="39" spans="1:3" x14ac:dyDescent="0.2">
      <c r="A39" s="38">
        <v>2</v>
      </c>
      <c r="B39" s="68">
        <f>$B$3</f>
        <v>3000</v>
      </c>
      <c r="C39" s="68">
        <f>B39/(1+$B$34)^(A39-0.5)</f>
        <v>2432.6212388877752</v>
      </c>
    </row>
    <row r="40" spans="1:3" x14ac:dyDescent="0.2">
      <c r="A40" s="38">
        <v>3</v>
      </c>
      <c r="B40" s="68">
        <f>$B$3</f>
        <v>3000</v>
      </c>
      <c r="C40" s="68">
        <f>B40/(1+$B$34)^(A40-0.5)</f>
        <v>2115.3228164241527</v>
      </c>
    </row>
    <row r="41" spans="1:3" x14ac:dyDescent="0.2">
      <c r="A41" s="38">
        <v>4</v>
      </c>
      <c r="B41" s="68">
        <f>$B$3</f>
        <v>3000</v>
      </c>
      <c r="C41" s="68">
        <f>B41/(1+$B$34)^(A41-0.5)</f>
        <v>1839.4111447166545</v>
      </c>
    </row>
    <row r="42" spans="1:3" x14ac:dyDescent="0.2">
      <c r="A42" s="38">
        <v>5</v>
      </c>
      <c r="B42" s="68">
        <f>$B$3</f>
        <v>3000</v>
      </c>
      <c r="C42" s="68">
        <f>B42/(1+$B$34)^(A42-0.5)</f>
        <v>1599.487951927526</v>
      </c>
    </row>
    <row r="43" spans="1:3" x14ac:dyDescent="0.2">
      <c r="A43" s="38"/>
      <c r="B43" s="29"/>
      <c r="C43" s="51">
        <f>SUM(C37:C42)</f>
        <v>784.35757667704979</v>
      </c>
    </row>
    <row r="45" spans="1:3" x14ac:dyDescent="0.2">
      <c r="A45" s="24" t="s">
        <v>122</v>
      </c>
      <c r="B45" s="67">
        <f>+B37+NPV(B34,B38:B42)*(1+B34)^0.5</f>
        <v>784.35757667705002</v>
      </c>
      <c r="C45" s="24" t="e">
        <f ca="1">getformula(B45)</f>
        <v>#NAME?</v>
      </c>
    </row>
  </sheetData>
  <mergeCells count="1">
    <mergeCell ref="A1:D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C12"/>
  <sheetViews>
    <sheetView workbookViewId="0">
      <selection sqref="A1:E1"/>
    </sheetView>
  </sheetViews>
  <sheetFormatPr defaultColWidth="9.140625" defaultRowHeight="12.75" x14ac:dyDescent="0.2"/>
  <cols>
    <col min="1" max="1" width="18.42578125" style="24" customWidth="1"/>
    <col min="2" max="2" width="11" style="24" customWidth="1"/>
    <col min="3" max="3" width="27.28515625" style="24" bestFit="1" customWidth="1"/>
    <col min="4" max="16384" width="9.140625" style="24"/>
  </cols>
  <sheetData>
    <row r="1" spans="1:3" ht="39.75" customHeight="1" x14ac:dyDescent="0.4">
      <c r="A1" s="96" t="s">
        <v>129</v>
      </c>
      <c r="B1" s="96"/>
      <c r="C1" s="96"/>
    </row>
    <row r="2" spans="1:3" s="27" customFormat="1" ht="12.75" customHeight="1" x14ac:dyDescent="0.4">
      <c r="A2" s="74" t="s">
        <v>114</v>
      </c>
      <c r="B2" s="75">
        <v>0.15</v>
      </c>
      <c r="C2" s="74"/>
    </row>
    <row r="3" spans="1:3" s="27" customFormat="1" ht="12.75" customHeight="1" x14ac:dyDescent="0.4">
      <c r="A3" s="74"/>
      <c r="B3" s="74"/>
      <c r="C3" s="74"/>
    </row>
    <row r="4" spans="1:3" ht="12.4" x14ac:dyDescent="0.4">
      <c r="A4" s="37" t="s">
        <v>130</v>
      </c>
      <c r="B4" s="37" t="s">
        <v>30</v>
      </c>
    </row>
    <row r="5" spans="1:3" ht="12.4" x14ac:dyDescent="0.4">
      <c r="A5" s="76">
        <v>37257</v>
      </c>
      <c r="B5" s="29">
        <f>'Page 196'!B37</f>
        <v>-10000</v>
      </c>
    </row>
    <row r="6" spans="1:3" ht="12.4" x14ac:dyDescent="0.4">
      <c r="A6" s="76">
        <v>37438</v>
      </c>
      <c r="B6" s="29">
        <f>'Page 196'!B38</f>
        <v>3000</v>
      </c>
    </row>
    <row r="7" spans="1:3" ht="12.4" x14ac:dyDescent="0.4">
      <c r="A7" s="76">
        <v>37803</v>
      </c>
      <c r="B7" s="29">
        <f>'Page 196'!B39</f>
        <v>3000</v>
      </c>
    </row>
    <row r="8" spans="1:3" x14ac:dyDescent="0.2">
      <c r="A8" s="76">
        <v>38169</v>
      </c>
      <c r="B8" s="29">
        <f>'Page 196'!B40</f>
        <v>3000</v>
      </c>
    </row>
    <row r="9" spans="1:3" x14ac:dyDescent="0.2">
      <c r="A9" s="76">
        <v>38534</v>
      </c>
      <c r="B9" s="29">
        <f>'Page 196'!B41</f>
        <v>3000</v>
      </c>
    </row>
    <row r="10" spans="1:3" x14ac:dyDescent="0.2">
      <c r="A10" s="76">
        <v>38899</v>
      </c>
      <c r="B10" s="29">
        <f>'Page 196'!B42</f>
        <v>3000</v>
      </c>
    </row>
    <row r="12" spans="1:3" ht="15" x14ac:dyDescent="0.25">
      <c r="A12" s="33" t="s">
        <v>66</v>
      </c>
      <c r="B12" s="77">
        <f>XNPV(B2,B5:B10,A5:A10)</f>
        <v>788.42592572357216</v>
      </c>
      <c r="C12" s="24" t="e">
        <f ca="1">getformula(B12)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C10"/>
  <sheetViews>
    <sheetView workbookViewId="0">
      <selection activeCell="C7" sqref="C7"/>
    </sheetView>
  </sheetViews>
  <sheetFormatPr defaultColWidth="9.140625" defaultRowHeight="12.75" x14ac:dyDescent="0.2"/>
  <cols>
    <col min="1" max="1" width="12.28515625" style="24" customWidth="1"/>
    <col min="2" max="2" width="11" style="24" customWidth="1"/>
    <col min="3" max="3" width="41.5703125" style="24" customWidth="1"/>
    <col min="4" max="16384" width="9.140625" style="24"/>
  </cols>
  <sheetData>
    <row r="1" spans="1:3" ht="40.9" customHeight="1" x14ac:dyDescent="0.4">
      <c r="A1" s="96" t="s">
        <v>171</v>
      </c>
      <c r="B1" s="96"/>
      <c r="C1" s="96"/>
    </row>
    <row r="2" spans="1:3" ht="12.4" x14ac:dyDescent="0.4">
      <c r="A2" s="37" t="s">
        <v>130</v>
      </c>
      <c r="B2" s="37" t="s">
        <v>30</v>
      </c>
    </row>
    <row r="3" spans="1:3" ht="12.4" x14ac:dyDescent="0.4">
      <c r="A3" s="76">
        <v>37257</v>
      </c>
      <c r="B3" s="29">
        <f>'Page 196'!B37</f>
        <v>-10000</v>
      </c>
    </row>
    <row r="4" spans="1:3" ht="12.4" x14ac:dyDescent="0.4">
      <c r="A4" s="76">
        <v>37438</v>
      </c>
      <c r="B4" s="29">
        <f>'Page 196'!B38</f>
        <v>3000</v>
      </c>
    </row>
    <row r="5" spans="1:3" ht="12.4" x14ac:dyDescent="0.4">
      <c r="A5" s="76">
        <v>37803</v>
      </c>
      <c r="B5" s="29">
        <f>'Page 196'!B39</f>
        <v>3000</v>
      </c>
    </row>
    <row r="6" spans="1:3" ht="12.4" x14ac:dyDescent="0.4">
      <c r="A6" s="76">
        <v>38169</v>
      </c>
      <c r="B6" s="29">
        <f>'Page 196'!B40</f>
        <v>3000</v>
      </c>
    </row>
    <row r="7" spans="1:3" ht="12.4" x14ac:dyDescent="0.4">
      <c r="A7" s="76">
        <v>38534</v>
      </c>
      <c r="B7" s="29">
        <f>'Page 196'!B41</f>
        <v>3000</v>
      </c>
    </row>
    <row r="8" spans="1:3" x14ac:dyDescent="0.2">
      <c r="A8" s="76">
        <v>38899</v>
      </c>
      <c r="B8" s="29">
        <f>'Page 196'!B42</f>
        <v>3000</v>
      </c>
    </row>
    <row r="10" spans="1:3" ht="15" x14ac:dyDescent="0.25">
      <c r="A10" s="24" t="s">
        <v>18</v>
      </c>
      <c r="B10" s="70">
        <f>XIRR(B3:B8,A3:A8)</f>
        <v>0.19062191843986509</v>
      </c>
      <c r="C10" s="24" t="e">
        <f ca="1">getformula(B10)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73"/>
  <sheetViews>
    <sheetView workbookViewId="0">
      <selection sqref="A1:C1"/>
    </sheetView>
  </sheetViews>
  <sheetFormatPr defaultColWidth="9.140625" defaultRowHeight="12.75" x14ac:dyDescent="0.2"/>
  <cols>
    <col min="1" max="1" width="36" style="24" customWidth="1"/>
    <col min="2" max="2" width="11.140625" style="24" customWidth="1"/>
    <col min="3" max="3" width="18.7109375" style="24" customWidth="1"/>
    <col min="4" max="68" width="13" style="24" customWidth="1"/>
    <col min="69" max="16384" width="9.140625" style="24"/>
  </cols>
  <sheetData>
    <row r="1" spans="1:3" ht="39" customHeight="1" x14ac:dyDescent="0.4">
      <c r="A1" s="96" t="s">
        <v>172</v>
      </c>
      <c r="B1" s="96"/>
      <c r="C1" s="96"/>
    </row>
    <row r="2" spans="1:3" s="27" customFormat="1" ht="12.4" x14ac:dyDescent="0.4">
      <c r="A2" s="25" t="s">
        <v>19</v>
      </c>
      <c r="B2" s="26">
        <v>100000</v>
      </c>
    </row>
    <row r="3" spans="1:3" s="27" customFormat="1" ht="12.4" x14ac:dyDescent="0.4">
      <c r="A3" s="25" t="s">
        <v>20</v>
      </c>
      <c r="B3" s="28">
        <v>0.3</v>
      </c>
    </row>
    <row r="5" spans="1:3" ht="12.4" x14ac:dyDescent="0.4">
      <c r="A5" s="25" t="s">
        <v>21</v>
      </c>
    </row>
    <row r="6" spans="1:3" ht="12.4" x14ac:dyDescent="0.4">
      <c r="A6" s="24" t="s">
        <v>22</v>
      </c>
      <c r="B6" s="29">
        <v>24000</v>
      </c>
    </row>
    <row r="7" spans="1:3" ht="12.4" x14ac:dyDescent="0.4">
      <c r="A7" s="24" t="s">
        <v>23</v>
      </c>
      <c r="B7" s="29"/>
    </row>
    <row r="8" spans="1:3" x14ac:dyDescent="0.2">
      <c r="A8" s="24" t="s">
        <v>42</v>
      </c>
      <c r="B8" s="29">
        <v>-1500</v>
      </c>
    </row>
    <row r="9" spans="1:3" x14ac:dyDescent="0.2">
      <c r="A9" s="24" t="s">
        <v>44</v>
      </c>
      <c r="B9" s="29">
        <v>-1000</v>
      </c>
    </row>
    <row r="10" spans="1:3" x14ac:dyDescent="0.2">
      <c r="A10" s="24" t="s">
        <v>26</v>
      </c>
      <c r="B10" s="29">
        <f>-B2/10</f>
        <v>-10000</v>
      </c>
    </row>
    <row r="11" spans="1:3" x14ac:dyDescent="0.2">
      <c r="A11" s="24" t="s">
        <v>27</v>
      </c>
      <c r="B11" s="29">
        <f>SUM(B6:B10)</f>
        <v>11500</v>
      </c>
      <c r="C11" s="24" t="e">
        <f ca="1">getformula(B11)</f>
        <v>#NAME?</v>
      </c>
    </row>
    <row r="12" spans="1:3" x14ac:dyDescent="0.2">
      <c r="A12" s="24" t="s">
        <v>28</v>
      </c>
      <c r="B12" s="29">
        <f>-B3*B11</f>
        <v>-3450</v>
      </c>
      <c r="C12" s="24" t="e">
        <f ca="1">getformula(B12)</f>
        <v>#NAME?</v>
      </c>
    </row>
    <row r="13" spans="1:3" x14ac:dyDescent="0.2">
      <c r="A13" s="33" t="s">
        <v>29</v>
      </c>
      <c r="B13" s="32">
        <f>B11+B12</f>
        <v>8050</v>
      </c>
      <c r="C13" s="24" t="e">
        <f ca="1">getformula(B13)</f>
        <v>#NAME?</v>
      </c>
    </row>
    <row r="14" spans="1:3" s="34" customFormat="1" x14ac:dyDescent="0.2">
      <c r="B14" s="35"/>
    </row>
    <row r="15" spans="1:3" x14ac:dyDescent="0.2">
      <c r="A15" s="34" t="s">
        <v>117</v>
      </c>
      <c r="B15" s="29">
        <f>B13-B10</f>
        <v>18050</v>
      </c>
      <c r="C15" s="24" t="e">
        <f ca="1">getformula(B15)</f>
        <v>#NAME?</v>
      </c>
    </row>
    <row r="17" spans="1:3" x14ac:dyDescent="0.2">
      <c r="A17" s="25" t="s">
        <v>40</v>
      </c>
    </row>
    <row r="18" spans="1:3" x14ac:dyDescent="0.2">
      <c r="A18" s="30" t="s">
        <v>78</v>
      </c>
      <c r="B18" s="29">
        <v>100000</v>
      </c>
    </row>
    <row r="19" spans="1:3" x14ac:dyDescent="0.2">
      <c r="A19" s="24" t="s">
        <v>41</v>
      </c>
      <c r="B19" s="29">
        <v>0</v>
      </c>
    </row>
    <row r="20" spans="1:3" x14ac:dyDescent="0.2">
      <c r="A20" s="24" t="s">
        <v>43</v>
      </c>
      <c r="B20" s="29">
        <f>B18-B19</f>
        <v>100000</v>
      </c>
      <c r="C20" s="24" t="e">
        <f ca="1">getformula(B20)</f>
        <v>#NAME?</v>
      </c>
    </row>
    <row r="21" spans="1:3" x14ac:dyDescent="0.2">
      <c r="A21" s="24" t="s">
        <v>45</v>
      </c>
      <c r="B21" s="29">
        <f>0.3*B20</f>
        <v>30000</v>
      </c>
      <c r="C21" s="24" t="e">
        <f ca="1">getformula(B21)</f>
        <v>#NAME?</v>
      </c>
    </row>
    <row r="22" spans="1:3" x14ac:dyDescent="0.2">
      <c r="A22" s="33" t="s">
        <v>131</v>
      </c>
      <c r="B22" s="32">
        <f>B20-B21</f>
        <v>70000</v>
      </c>
      <c r="C22" s="24" t="e">
        <f ca="1">getformula(B22)</f>
        <v>#NAME?</v>
      </c>
    </row>
    <row r="24" spans="1:3" x14ac:dyDescent="0.2">
      <c r="A24" s="37" t="s">
        <v>15</v>
      </c>
      <c r="B24" s="25" t="s">
        <v>30</v>
      </c>
    </row>
    <row r="25" spans="1:3" x14ac:dyDescent="0.2">
      <c r="A25" s="38">
        <v>0</v>
      </c>
      <c r="B25" s="29">
        <f>-B2</f>
        <v>-100000</v>
      </c>
    </row>
    <row r="26" spans="1:3" x14ac:dyDescent="0.2">
      <c r="A26" s="38">
        <v>1</v>
      </c>
      <c r="B26" s="29">
        <f>$B$15</f>
        <v>18050</v>
      </c>
      <c r="C26" s="24" t="e">
        <f ca="1">getformula(B26)</f>
        <v>#NAME?</v>
      </c>
    </row>
    <row r="27" spans="1:3" x14ac:dyDescent="0.2">
      <c r="A27" s="38">
        <v>2</v>
      </c>
      <c r="B27" s="29">
        <f t="shared" ref="B27:B34" si="0">$B$15</f>
        <v>18050</v>
      </c>
    </row>
    <row r="28" spans="1:3" x14ac:dyDescent="0.2">
      <c r="A28" s="38">
        <v>3</v>
      </c>
      <c r="B28" s="29">
        <f t="shared" si="0"/>
        <v>18050</v>
      </c>
    </row>
    <row r="29" spans="1:3" x14ac:dyDescent="0.2">
      <c r="A29" s="38">
        <v>4</v>
      </c>
      <c r="B29" s="29">
        <f t="shared" si="0"/>
        <v>18050</v>
      </c>
    </row>
    <row r="30" spans="1:3" x14ac:dyDescent="0.2">
      <c r="A30" s="38">
        <v>5</v>
      </c>
      <c r="B30" s="29">
        <f t="shared" si="0"/>
        <v>18050</v>
      </c>
    </row>
    <row r="31" spans="1:3" x14ac:dyDescent="0.2">
      <c r="A31" s="38">
        <v>6</v>
      </c>
      <c r="B31" s="29">
        <f t="shared" si="0"/>
        <v>18050</v>
      </c>
    </row>
    <row r="32" spans="1:3" x14ac:dyDescent="0.2">
      <c r="A32" s="38">
        <v>7</v>
      </c>
      <c r="B32" s="29">
        <f t="shared" si="0"/>
        <v>18050</v>
      </c>
    </row>
    <row r="33" spans="1:3" x14ac:dyDescent="0.2">
      <c r="A33" s="38">
        <v>8</v>
      </c>
      <c r="B33" s="29">
        <f t="shared" si="0"/>
        <v>18050</v>
      </c>
    </row>
    <row r="34" spans="1:3" x14ac:dyDescent="0.2">
      <c r="A34" s="38">
        <v>9</v>
      </c>
      <c r="B34" s="29">
        <f t="shared" si="0"/>
        <v>18050</v>
      </c>
    </row>
    <row r="35" spans="1:3" x14ac:dyDescent="0.2">
      <c r="A35" s="38">
        <v>10</v>
      </c>
      <c r="B35" s="29">
        <f>$B$15+B22</f>
        <v>88050</v>
      </c>
      <c r="C35" s="24" t="e">
        <f ca="1">getformula(B35)</f>
        <v>#NAME?</v>
      </c>
    </row>
    <row r="37" spans="1:3" x14ac:dyDescent="0.2">
      <c r="A37" s="33" t="s">
        <v>18</v>
      </c>
      <c r="B37" s="66">
        <f>IRR(B25:B35)</f>
        <v>0.16689745911646359</v>
      </c>
    </row>
    <row r="54" spans="1:2" x14ac:dyDescent="0.2">
      <c r="A54" s="78"/>
      <c r="B54" s="29"/>
    </row>
    <row r="60" spans="1:2" x14ac:dyDescent="0.2">
      <c r="A60" s="37" t="s">
        <v>132</v>
      </c>
      <c r="B60" s="37" t="s">
        <v>51</v>
      </c>
    </row>
    <row r="61" spans="1:2" x14ac:dyDescent="0.2">
      <c r="A61" s="76">
        <v>37257</v>
      </c>
      <c r="B61" s="29">
        <f t="shared" ref="B61:B71" si="1">B25</f>
        <v>-100000</v>
      </c>
    </row>
    <row r="62" spans="1:2" x14ac:dyDescent="0.2">
      <c r="A62" s="76">
        <v>37438</v>
      </c>
      <c r="B62" s="29">
        <f t="shared" si="1"/>
        <v>18050</v>
      </c>
    </row>
    <row r="63" spans="1:2" x14ac:dyDescent="0.2">
      <c r="A63" s="76">
        <v>37803</v>
      </c>
      <c r="B63" s="29">
        <f t="shared" si="1"/>
        <v>18050</v>
      </c>
    </row>
    <row r="64" spans="1:2" x14ac:dyDescent="0.2">
      <c r="A64" s="76">
        <v>38169</v>
      </c>
      <c r="B64" s="29">
        <f t="shared" si="1"/>
        <v>18050</v>
      </c>
    </row>
    <row r="65" spans="1:3" x14ac:dyDescent="0.2">
      <c r="A65" s="76">
        <v>38534</v>
      </c>
      <c r="B65" s="29">
        <f t="shared" si="1"/>
        <v>18050</v>
      </c>
    </row>
    <row r="66" spans="1:3" x14ac:dyDescent="0.2">
      <c r="A66" s="76">
        <v>38899</v>
      </c>
      <c r="B66" s="29">
        <f t="shared" si="1"/>
        <v>18050</v>
      </c>
    </row>
    <row r="67" spans="1:3" x14ac:dyDescent="0.2">
      <c r="A67" s="76">
        <v>39264</v>
      </c>
      <c r="B67" s="29">
        <f t="shared" si="1"/>
        <v>18050</v>
      </c>
    </row>
    <row r="68" spans="1:3" x14ac:dyDescent="0.2">
      <c r="A68" s="76">
        <v>39630</v>
      </c>
      <c r="B68" s="29">
        <f t="shared" si="1"/>
        <v>18050</v>
      </c>
    </row>
    <row r="69" spans="1:3" x14ac:dyDescent="0.2">
      <c r="A69" s="76">
        <v>39995</v>
      </c>
      <c r="B69" s="29">
        <f t="shared" si="1"/>
        <v>18050</v>
      </c>
    </row>
    <row r="70" spans="1:3" x14ac:dyDescent="0.2">
      <c r="A70" s="76">
        <v>40360</v>
      </c>
      <c r="B70" s="29">
        <f t="shared" si="1"/>
        <v>18050</v>
      </c>
    </row>
    <row r="71" spans="1:3" x14ac:dyDescent="0.2">
      <c r="A71" s="76">
        <v>40725</v>
      </c>
      <c r="B71" s="29">
        <f t="shared" si="1"/>
        <v>88050</v>
      </c>
    </row>
    <row r="72" spans="1:3" x14ac:dyDescent="0.2">
      <c r="A72" s="78"/>
      <c r="B72" s="29"/>
    </row>
    <row r="73" spans="1:3" ht="15" x14ac:dyDescent="0.25">
      <c r="A73" s="79" t="s">
        <v>18</v>
      </c>
      <c r="B73" s="80">
        <f>XIRR(B61:B71,A61:A71)</f>
        <v>0.18694899678230287</v>
      </c>
      <c r="C73" s="24" t="e">
        <f ca="1">getformula(B73)</f>
        <v>#NAME?</v>
      </c>
    </row>
  </sheetData>
  <mergeCells count="1">
    <mergeCell ref="A1:C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50"/>
  <sheetViews>
    <sheetView workbookViewId="0">
      <selection activeCell="A40" sqref="A40"/>
    </sheetView>
  </sheetViews>
  <sheetFormatPr defaultColWidth="9.140625" defaultRowHeight="12.75" outlineLevelRow="1" x14ac:dyDescent="0.2"/>
  <cols>
    <col min="1" max="1" width="23.5703125" style="24" customWidth="1"/>
    <col min="2" max="2" width="5.85546875" style="24" bestFit="1" customWidth="1"/>
    <col min="3" max="4" width="14" style="24" bestFit="1" customWidth="1"/>
    <col min="5" max="5" width="8.85546875" style="24" bestFit="1" customWidth="1"/>
    <col min="6" max="6" width="27.42578125" style="24" bestFit="1" customWidth="1"/>
    <col min="7" max="87" width="13" style="24" customWidth="1"/>
    <col min="88" max="16384" width="9.140625" style="24"/>
  </cols>
  <sheetData>
    <row r="1" spans="1:10" ht="17.649999999999999" x14ac:dyDescent="0.6">
      <c r="A1" s="103" t="s">
        <v>133</v>
      </c>
      <c r="B1" s="103"/>
      <c r="C1" s="103"/>
      <c r="D1" s="103"/>
      <c r="E1" s="103"/>
      <c r="F1" s="103"/>
    </row>
    <row r="2" spans="1:10" s="27" customFormat="1" ht="40.15" customHeight="1" x14ac:dyDescent="0.4">
      <c r="A2" s="27" t="s">
        <v>58</v>
      </c>
      <c r="B2" s="50">
        <v>0.3</v>
      </c>
      <c r="D2" s="104" t="s">
        <v>134</v>
      </c>
      <c r="E2" s="104"/>
      <c r="F2" s="24"/>
    </row>
    <row r="3" spans="1:10" s="27" customFormat="1" ht="12.4" x14ac:dyDescent="0.4">
      <c r="D3" s="37" t="s">
        <v>15</v>
      </c>
      <c r="E3" s="37" t="s">
        <v>30</v>
      </c>
      <c r="F3" s="24"/>
    </row>
    <row r="4" spans="1:10" s="27" customFormat="1" ht="12.4" x14ac:dyDescent="0.4">
      <c r="A4" s="25" t="s">
        <v>135</v>
      </c>
      <c r="B4" s="24"/>
      <c r="D4" s="38">
        <v>0</v>
      </c>
      <c r="E4" s="29">
        <v>-100000</v>
      </c>
      <c r="F4" s="24"/>
    </row>
    <row r="5" spans="1:10" ht="12.4" x14ac:dyDescent="0.4">
      <c r="A5" s="24" t="s">
        <v>22</v>
      </c>
      <c r="B5" s="29">
        <v>24000</v>
      </c>
      <c r="D5" s="38">
        <v>0.5</v>
      </c>
      <c r="E5" s="29">
        <f t="shared" ref="E5:E43" si="0">IF(MOD(D5,1)&lt;&gt;0,$B$7,$B$14)</f>
        <v>23000</v>
      </c>
      <c r="F5" s="24" t="s">
        <v>136</v>
      </c>
    </row>
    <row r="6" spans="1:10" ht="12.4" x14ac:dyDescent="0.4">
      <c r="A6" s="24" t="s">
        <v>25</v>
      </c>
      <c r="B6" s="29">
        <v>-1000</v>
      </c>
      <c r="D6" s="38">
        <v>1</v>
      </c>
      <c r="E6" s="29">
        <f t="shared" si="0"/>
        <v>-4950</v>
      </c>
      <c r="F6" s="24" t="s">
        <v>137</v>
      </c>
      <c r="I6" s="25"/>
    </row>
    <row r="7" spans="1:10" ht="12.4" x14ac:dyDescent="0.4">
      <c r="A7" s="24" t="s">
        <v>138</v>
      </c>
      <c r="B7" s="29">
        <f>SUM(B5:B6)</f>
        <v>23000</v>
      </c>
      <c r="C7" s="24" t="e">
        <f ca="1">getformula(B7)</f>
        <v>#NAME?</v>
      </c>
      <c r="D7" s="38">
        <v>1.5</v>
      </c>
      <c r="E7" s="29">
        <f t="shared" si="0"/>
        <v>23000</v>
      </c>
      <c r="J7" s="51"/>
    </row>
    <row r="8" spans="1:10" x14ac:dyDescent="0.2">
      <c r="D8" s="38">
        <v>2</v>
      </c>
      <c r="E8" s="29">
        <f t="shared" si="0"/>
        <v>-4950</v>
      </c>
      <c r="J8" s="36"/>
    </row>
    <row r="9" spans="1:10" x14ac:dyDescent="0.2">
      <c r="A9" s="25" t="s">
        <v>139</v>
      </c>
      <c r="D9" s="38">
        <v>2.5</v>
      </c>
      <c r="E9" s="29">
        <f t="shared" si="0"/>
        <v>23000</v>
      </c>
    </row>
    <row r="10" spans="1:10" x14ac:dyDescent="0.2">
      <c r="A10" s="27" t="s">
        <v>26</v>
      </c>
      <c r="B10" s="29">
        <v>10000</v>
      </c>
      <c r="D10" s="38">
        <v>3</v>
      </c>
      <c r="E10" s="29">
        <f t="shared" si="0"/>
        <v>-4950</v>
      </c>
    </row>
    <row r="11" spans="1:10" x14ac:dyDescent="0.2">
      <c r="A11" s="24" t="s">
        <v>24</v>
      </c>
      <c r="B11" s="29">
        <v>-1500</v>
      </c>
      <c r="D11" s="38">
        <v>3.5</v>
      </c>
      <c r="E11" s="29">
        <f t="shared" si="0"/>
        <v>23000</v>
      </c>
      <c r="I11" s="34"/>
      <c r="J11" s="81"/>
    </row>
    <row r="12" spans="1:10" x14ac:dyDescent="0.2">
      <c r="A12" s="24" t="s">
        <v>140</v>
      </c>
      <c r="B12" s="29">
        <f>B5+B6-B10+B11</f>
        <v>11500</v>
      </c>
      <c r="D12" s="38">
        <v>4</v>
      </c>
      <c r="E12" s="29">
        <f t="shared" si="0"/>
        <v>-4950</v>
      </c>
      <c r="I12" s="34"/>
      <c r="J12" s="81"/>
    </row>
    <row r="13" spans="1:10" x14ac:dyDescent="0.2">
      <c r="A13" s="24" t="s">
        <v>141</v>
      </c>
      <c r="B13" s="29">
        <f>-B2*B12</f>
        <v>-3450</v>
      </c>
      <c r="C13" s="24" t="e">
        <f ca="1">getformula(B13)</f>
        <v>#NAME?</v>
      </c>
      <c r="D13" s="38">
        <v>4.5</v>
      </c>
      <c r="E13" s="29">
        <f t="shared" si="0"/>
        <v>23000</v>
      </c>
    </row>
    <row r="14" spans="1:10" x14ac:dyDescent="0.2">
      <c r="A14" s="24" t="s">
        <v>142</v>
      </c>
      <c r="B14" s="29">
        <f>B11+B13</f>
        <v>-4950</v>
      </c>
      <c r="C14" s="24" t="e">
        <f ca="1">getformula(B14)</f>
        <v>#NAME?</v>
      </c>
      <c r="D14" s="38">
        <v>5</v>
      </c>
      <c r="E14" s="29">
        <f t="shared" si="0"/>
        <v>-4950</v>
      </c>
    </row>
    <row r="15" spans="1:10" x14ac:dyDescent="0.2">
      <c r="D15" s="38">
        <v>5.5</v>
      </c>
      <c r="E15" s="29">
        <f t="shared" si="0"/>
        <v>23000</v>
      </c>
    </row>
    <row r="16" spans="1:10" x14ac:dyDescent="0.2">
      <c r="A16" s="24" t="s">
        <v>117</v>
      </c>
      <c r="B16" s="29">
        <f>B7+B14</f>
        <v>18050</v>
      </c>
      <c r="C16" s="24" t="e">
        <f ca="1">getformula(B16)</f>
        <v>#NAME?</v>
      </c>
      <c r="D16" s="38">
        <v>6</v>
      </c>
      <c r="E16" s="29">
        <f t="shared" si="0"/>
        <v>-4950</v>
      </c>
    </row>
    <row r="17" spans="4:18" s="34" customFormat="1" x14ac:dyDescent="0.2">
      <c r="D17" s="38">
        <v>6.5</v>
      </c>
      <c r="E17" s="29">
        <f t="shared" si="0"/>
        <v>23000</v>
      </c>
      <c r="F17" s="24"/>
    </row>
    <row r="18" spans="4:18" x14ac:dyDescent="0.2">
      <c r="D18" s="38">
        <v>7</v>
      </c>
      <c r="E18" s="29">
        <f t="shared" si="0"/>
        <v>-4950</v>
      </c>
      <c r="O18" s="29"/>
      <c r="P18" s="29"/>
      <c r="Q18" s="29"/>
      <c r="R18" s="29"/>
    </row>
    <row r="19" spans="4:18" x14ac:dyDescent="0.2">
      <c r="D19" s="38">
        <v>7.5</v>
      </c>
      <c r="E19" s="29">
        <f t="shared" si="0"/>
        <v>23000</v>
      </c>
      <c r="O19" s="29"/>
      <c r="P19" s="29"/>
      <c r="Q19" s="29"/>
      <c r="R19" s="29"/>
    </row>
    <row r="20" spans="4:18" ht="12.4" hidden="1" outlineLevel="1" x14ac:dyDescent="0.4">
      <c r="D20" s="38">
        <v>8</v>
      </c>
      <c r="E20" s="29">
        <f t="shared" si="0"/>
        <v>-4950</v>
      </c>
      <c r="O20" s="29"/>
      <c r="P20" s="29"/>
      <c r="Q20" s="29"/>
      <c r="R20" s="29"/>
    </row>
    <row r="21" spans="4:18" ht="12.4" hidden="1" outlineLevel="1" x14ac:dyDescent="0.4">
      <c r="D21" s="38">
        <v>8.5</v>
      </c>
      <c r="E21" s="29">
        <f t="shared" si="0"/>
        <v>23000</v>
      </c>
      <c r="O21" s="29"/>
      <c r="P21" s="29"/>
      <c r="Q21" s="29"/>
      <c r="R21" s="29"/>
    </row>
    <row r="22" spans="4:18" ht="12.4" hidden="1" outlineLevel="1" x14ac:dyDescent="0.4">
      <c r="D22" s="38">
        <v>9</v>
      </c>
      <c r="E22" s="29">
        <f t="shared" si="0"/>
        <v>-4950</v>
      </c>
      <c r="O22" s="29"/>
      <c r="P22" s="29"/>
      <c r="Q22" s="29"/>
      <c r="R22" s="29"/>
    </row>
    <row r="23" spans="4:18" ht="12.4" hidden="1" outlineLevel="1" x14ac:dyDescent="0.4">
      <c r="D23" s="38">
        <v>9.5</v>
      </c>
      <c r="E23" s="29">
        <f t="shared" si="0"/>
        <v>23000</v>
      </c>
      <c r="O23" s="29"/>
      <c r="P23" s="29"/>
      <c r="Q23" s="29"/>
      <c r="R23" s="29"/>
    </row>
    <row r="24" spans="4:18" ht="12.4" hidden="1" outlineLevel="1" x14ac:dyDescent="0.4">
      <c r="D24" s="38">
        <v>10</v>
      </c>
      <c r="E24" s="29">
        <f t="shared" si="0"/>
        <v>-4950</v>
      </c>
      <c r="O24" s="29"/>
      <c r="P24" s="29"/>
      <c r="Q24" s="29"/>
      <c r="R24" s="29"/>
    </row>
    <row r="25" spans="4:18" ht="12.4" hidden="1" outlineLevel="1" x14ac:dyDescent="0.4">
      <c r="D25" s="38">
        <v>10.5</v>
      </c>
      <c r="E25" s="29">
        <f t="shared" si="0"/>
        <v>23000</v>
      </c>
      <c r="O25" s="29"/>
      <c r="P25" s="29"/>
      <c r="Q25" s="29"/>
      <c r="R25" s="29"/>
    </row>
    <row r="26" spans="4:18" ht="12.4" hidden="1" outlineLevel="1" x14ac:dyDescent="0.4">
      <c r="D26" s="38">
        <v>11</v>
      </c>
      <c r="E26" s="29">
        <f t="shared" si="0"/>
        <v>-4950</v>
      </c>
      <c r="O26" s="29"/>
      <c r="P26" s="29"/>
      <c r="Q26" s="29"/>
      <c r="R26" s="29"/>
    </row>
    <row r="27" spans="4:18" ht="12.4" hidden="1" outlineLevel="1" x14ac:dyDescent="0.4">
      <c r="D27" s="38">
        <v>11.5</v>
      </c>
      <c r="E27" s="29">
        <f t="shared" si="0"/>
        <v>23000</v>
      </c>
      <c r="O27" s="29"/>
      <c r="P27" s="29"/>
      <c r="Q27" s="29"/>
      <c r="R27" s="29"/>
    </row>
    <row r="28" spans="4:18" ht="12.4" hidden="1" outlineLevel="1" x14ac:dyDescent="0.4">
      <c r="D28" s="38">
        <v>12</v>
      </c>
      <c r="E28" s="29">
        <f t="shared" si="0"/>
        <v>-4950</v>
      </c>
      <c r="O28" s="29"/>
      <c r="P28" s="29"/>
      <c r="Q28" s="29"/>
      <c r="R28" s="29"/>
    </row>
    <row r="29" spans="4:18" ht="12.4" hidden="1" outlineLevel="1" x14ac:dyDescent="0.4">
      <c r="D29" s="38">
        <v>12.5</v>
      </c>
      <c r="E29" s="29">
        <f t="shared" si="0"/>
        <v>23000</v>
      </c>
      <c r="O29" s="29"/>
      <c r="P29" s="29"/>
      <c r="Q29" s="29"/>
      <c r="R29" s="29"/>
    </row>
    <row r="30" spans="4:18" ht="12.4" hidden="1" outlineLevel="1" x14ac:dyDescent="0.4">
      <c r="D30" s="38">
        <v>13</v>
      </c>
      <c r="E30" s="29">
        <f t="shared" si="0"/>
        <v>-4950</v>
      </c>
      <c r="O30" s="29"/>
      <c r="P30" s="29"/>
      <c r="Q30" s="29"/>
      <c r="R30" s="29"/>
    </row>
    <row r="31" spans="4:18" ht="12.4" hidden="1" outlineLevel="1" x14ac:dyDescent="0.4">
      <c r="D31" s="38">
        <v>13.5</v>
      </c>
      <c r="E31" s="29">
        <f t="shared" si="0"/>
        <v>23000</v>
      </c>
      <c r="O31" s="29"/>
      <c r="P31" s="29"/>
      <c r="Q31" s="29"/>
      <c r="R31" s="29"/>
    </row>
    <row r="32" spans="4:18" ht="12.4" hidden="1" outlineLevel="1" x14ac:dyDescent="0.4">
      <c r="D32" s="38">
        <v>14</v>
      </c>
      <c r="E32" s="29">
        <f t="shared" si="0"/>
        <v>-4950</v>
      </c>
      <c r="O32" s="29"/>
      <c r="P32" s="29"/>
      <c r="Q32" s="29"/>
      <c r="R32" s="29"/>
    </row>
    <row r="33" spans="4:18" collapsed="1" x14ac:dyDescent="0.2">
      <c r="D33" s="38">
        <v>14.5</v>
      </c>
      <c r="E33" s="29">
        <f t="shared" si="0"/>
        <v>23000</v>
      </c>
      <c r="O33" s="29"/>
      <c r="P33" s="29"/>
      <c r="Q33" s="29"/>
      <c r="R33" s="29"/>
    </row>
    <row r="34" spans="4:18" x14ac:dyDescent="0.2">
      <c r="D34" s="38">
        <v>15</v>
      </c>
      <c r="E34" s="29">
        <f t="shared" si="0"/>
        <v>-4950</v>
      </c>
      <c r="O34" s="29"/>
      <c r="P34" s="29"/>
      <c r="Q34" s="29"/>
      <c r="R34" s="29"/>
    </row>
    <row r="35" spans="4:18" x14ac:dyDescent="0.2">
      <c r="D35" s="38">
        <v>15.5</v>
      </c>
      <c r="E35" s="29">
        <f t="shared" si="0"/>
        <v>23000</v>
      </c>
      <c r="O35" s="29"/>
      <c r="P35" s="29"/>
      <c r="Q35" s="29"/>
      <c r="R35" s="29"/>
    </row>
    <row r="36" spans="4:18" x14ac:dyDescent="0.2">
      <c r="D36" s="38">
        <v>16</v>
      </c>
      <c r="E36" s="29">
        <f t="shared" si="0"/>
        <v>-4950</v>
      </c>
      <c r="O36" s="29"/>
      <c r="P36" s="29"/>
      <c r="Q36" s="29"/>
      <c r="R36" s="29"/>
    </row>
    <row r="37" spans="4:18" x14ac:dyDescent="0.2">
      <c r="D37" s="38">
        <v>16.5</v>
      </c>
      <c r="E37" s="29">
        <f t="shared" si="0"/>
        <v>23000</v>
      </c>
      <c r="O37" s="29"/>
      <c r="P37" s="29"/>
      <c r="Q37" s="29"/>
      <c r="R37" s="29"/>
    </row>
    <row r="38" spans="4:18" x14ac:dyDescent="0.2">
      <c r="D38" s="38">
        <v>17</v>
      </c>
      <c r="E38" s="29">
        <f t="shared" si="0"/>
        <v>-4950</v>
      </c>
      <c r="O38" s="29"/>
      <c r="P38" s="29"/>
      <c r="Q38" s="29"/>
      <c r="R38" s="29"/>
    </row>
    <row r="39" spans="4:18" x14ac:dyDescent="0.2">
      <c r="D39" s="38">
        <v>17.5</v>
      </c>
      <c r="E39" s="29">
        <f t="shared" si="0"/>
        <v>23000</v>
      </c>
      <c r="O39" s="29"/>
      <c r="P39" s="29"/>
      <c r="Q39" s="29"/>
      <c r="R39" s="29"/>
    </row>
    <row r="40" spans="4:18" x14ac:dyDescent="0.2">
      <c r="D40" s="38">
        <v>18</v>
      </c>
      <c r="E40" s="29">
        <f t="shared" si="0"/>
        <v>-4950</v>
      </c>
      <c r="O40" s="29"/>
      <c r="P40" s="29"/>
      <c r="Q40" s="29"/>
      <c r="R40" s="29"/>
    </row>
    <row r="41" spans="4:18" x14ac:dyDescent="0.2">
      <c r="D41" s="38">
        <v>18.5</v>
      </c>
      <c r="E41" s="29">
        <f t="shared" si="0"/>
        <v>23000</v>
      </c>
      <c r="O41" s="29"/>
      <c r="P41" s="29"/>
      <c r="Q41" s="29"/>
      <c r="R41" s="29"/>
    </row>
    <row r="42" spans="4:18" x14ac:dyDescent="0.2">
      <c r="D42" s="38">
        <v>19</v>
      </c>
      <c r="E42" s="29">
        <f t="shared" si="0"/>
        <v>-4950</v>
      </c>
      <c r="O42" s="29"/>
      <c r="P42" s="29"/>
      <c r="Q42" s="29"/>
      <c r="R42" s="29"/>
    </row>
    <row r="43" spans="4:18" x14ac:dyDescent="0.2">
      <c r="D43" s="38">
        <v>19.5</v>
      </c>
      <c r="E43" s="29">
        <f t="shared" si="0"/>
        <v>23000</v>
      </c>
      <c r="O43" s="29"/>
      <c r="P43" s="29"/>
      <c r="Q43" s="29"/>
      <c r="R43" s="29"/>
    </row>
    <row r="44" spans="4:18" x14ac:dyDescent="0.2">
      <c r="D44" s="38">
        <v>20</v>
      </c>
      <c r="E44" s="29">
        <f>(1-B2)*100000+B14</f>
        <v>65050</v>
      </c>
      <c r="F44" s="24" t="s">
        <v>143</v>
      </c>
      <c r="O44" s="29"/>
      <c r="P44" s="29"/>
      <c r="Q44" s="29"/>
      <c r="R44" s="29"/>
    </row>
    <row r="45" spans="4:18" x14ac:dyDescent="0.2">
      <c r="O45" s="29"/>
      <c r="P45" s="29"/>
      <c r="Q45" s="29"/>
      <c r="R45" s="29"/>
    </row>
    <row r="46" spans="4:18" x14ac:dyDescent="0.2">
      <c r="D46" s="33" t="s">
        <v>144</v>
      </c>
      <c r="E46" s="66">
        <f>IRR(E4:E44)</f>
        <v>9.5885684438892893E-2</v>
      </c>
      <c r="F46" s="24" t="e">
        <f ca="1">getformula(E46)</f>
        <v>#NAME?</v>
      </c>
      <c r="O46" s="29"/>
      <c r="P46" s="29"/>
      <c r="Q46" s="29"/>
      <c r="R46" s="29"/>
    </row>
    <row r="47" spans="4:18" x14ac:dyDescent="0.2">
      <c r="D47" s="33" t="s">
        <v>145</v>
      </c>
      <c r="E47" s="40">
        <f>(1+E46)^2-1</f>
        <v>0.2009654333581008</v>
      </c>
      <c r="F47" s="24" t="e">
        <f ca="1">getformula(E47)</f>
        <v>#NAME?</v>
      </c>
      <c r="O47" s="29"/>
      <c r="P47" s="29"/>
      <c r="Q47" s="29"/>
      <c r="R47" s="29"/>
    </row>
    <row r="48" spans="4:18" x14ac:dyDescent="0.2">
      <c r="O48" s="29"/>
      <c r="P48" s="29"/>
      <c r="Q48" s="29"/>
      <c r="R48" s="29"/>
    </row>
    <row r="49" spans="15:18" x14ac:dyDescent="0.2">
      <c r="O49" s="29"/>
      <c r="P49" s="29"/>
      <c r="Q49" s="29"/>
      <c r="R49" s="29"/>
    </row>
    <row r="50" spans="15:18" x14ac:dyDescent="0.2">
      <c r="O50" s="29"/>
      <c r="P50" s="29"/>
      <c r="Q50" s="29"/>
      <c r="R50" s="29"/>
    </row>
  </sheetData>
  <mergeCells count="2">
    <mergeCell ref="A1:F1"/>
    <mergeCell ref="D2:E2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G23"/>
  <sheetViews>
    <sheetView workbookViewId="0">
      <selection sqref="A1:G1"/>
    </sheetView>
  </sheetViews>
  <sheetFormatPr defaultColWidth="9.140625" defaultRowHeight="12.75" x14ac:dyDescent="0.2"/>
  <cols>
    <col min="1" max="1" width="28.7109375" style="24" customWidth="1"/>
    <col min="2" max="2" width="17.42578125" style="24" bestFit="1" customWidth="1"/>
    <col min="3" max="3" width="24.140625" style="24" customWidth="1"/>
    <col min="4" max="4" width="12.28515625" style="24" customWidth="1"/>
    <col min="5" max="5" width="15.5703125" style="24" customWidth="1"/>
    <col min="6" max="6" width="12.140625" style="24" customWidth="1"/>
    <col min="7" max="7" width="20.7109375" style="24" bestFit="1" customWidth="1"/>
    <col min="8" max="16384" width="9.140625" style="24"/>
  </cols>
  <sheetData>
    <row r="1" spans="1:7" ht="17.649999999999999" x14ac:dyDescent="0.6">
      <c r="A1" s="103" t="s">
        <v>146</v>
      </c>
      <c r="B1" s="103"/>
      <c r="C1" s="103"/>
      <c r="D1" s="103"/>
      <c r="E1" s="103"/>
      <c r="F1" s="103"/>
      <c r="G1" s="103"/>
    </row>
    <row r="2" spans="1:7" ht="12.4" x14ac:dyDescent="0.4">
      <c r="A2" s="24" t="s">
        <v>147</v>
      </c>
      <c r="B2" s="52">
        <v>0.04</v>
      </c>
    </row>
    <row r="3" spans="1:7" ht="12.4" x14ac:dyDescent="0.4">
      <c r="A3" s="24" t="s">
        <v>148</v>
      </c>
      <c r="B3" s="68">
        <v>15</v>
      </c>
    </row>
    <row r="4" spans="1:7" ht="12.4" x14ac:dyDescent="0.4">
      <c r="A4" s="24" t="s">
        <v>149</v>
      </c>
      <c r="B4" s="44">
        <v>0.12</v>
      </c>
    </row>
    <row r="5" spans="1:7" ht="12.4" x14ac:dyDescent="0.4">
      <c r="A5" s="24" t="s">
        <v>150</v>
      </c>
      <c r="B5" s="44">
        <f>(1+B4)/(1+B2)-1</f>
        <v>7.6923076923077094E-2</v>
      </c>
      <c r="C5" s="24" t="e">
        <f ca="1">getformula(B5)</f>
        <v>#NAME?</v>
      </c>
    </row>
    <row r="7" spans="1:7" s="37" customFormat="1" ht="49.15" x14ac:dyDescent="0.4">
      <c r="A7" s="46" t="s">
        <v>15</v>
      </c>
      <c r="B7" s="46" t="s">
        <v>151</v>
      </c>
      <c r="C7" s="46" t="s">
        <v>152</v>
      </c>
      <c r="D7" s="46" t="s">
        <v>153</v>
      </c>
      <c r="F7" s="46" t="s">
        <v>154</v>
      </c>
    </row>
    <row r="8" spans="1:7" x14ac:dyDescent="0.2">
      <c r="A8" s="82">
        <v>0</v>
      </c>
      <c r="C8" s="83"/>
      <c r="D8" s="51">
        <v>-9500</v>
      </c>
      <c r="F8" s="68">
        <f>D8</f>
        <v>-9500</v>
      </c>
    </row>
    <row r="9" spans="1:7" x14ac:dyDescent="0.2">
      <c r="A9" s="82">
        <v>1</v>
      </c>
      <c r="B9" s="24">
        <v>100</v>
      </c>
      <c r="C9" s="83">
        <f t="shared" ref="C9:C14" si="0">$B$3*(1+$B$2)^A9</f>
        <v>15.600000000000001</v>
      </c>
      <c r="D9" s="51">
        <f t="shared" ref="D9:D14" si="1">C9*B9</f>
        <v>1560.0000000000002</v>
      </c>
      <c r="E9" s="24" t="e">
        <f ca="1">getformula(D9)</f>
        <v>#NAME?</v>
      </c>
      <c r="F9" s="68">
        <f t="shared" ref="F9:F14" si="2">D9/(1+$B$2)^A9</f>
        <v>1500.0000000000002</v>
      </c>
      <c r="G9" s="24" t="e">
        <f ca="1">getformula(F9)</f>
        <v>#NAME?</v>
      </c>
    </row>
    <row r="10" spans="1:7" x14ac:dyDescent="0.2">
      <c r="A10" s="82">
        <v>2</v>
      </c>
      <c r="B10" s="24">
        <v>125</v>
      </c>
      <c r="C10" s="83">
        <f t="shared" si="0"/>
        <v>16.224</v>
      </c>
      <c r="D10" s="51">
        <f t="shared" si="1"/>
        <v>2028</v>
      </c>
      <c r="E10" s="24" t="e">
        <f ca="1">getformula(D10)</f>
        <v>#NAME?</v>
      </c>
      <c r="F10" s="68">
        <f t="shared" si="2"/>
        <v>1874.9999999999998</v>
      </c>
      <c r="G10" s="24" t="e">
        <f ca="1">getformula(F10)</f>
        <v>#NAME?</v>
      </c>
    </row>
    <row r="11" spans="1:7" x14ac:dyDescent="0.2">
      <c r="A11" s="82">
        <v>3</v>
      </c>
      <c r="B11" s="24">
        <v>150</v>
      </c>
      <c r="C11" s="83">
        <f t="shared" si="0"/>
        <v>16.872960000000003</v>
      </c>
      <c r="D11" s="51">
        <f t="shared" si="1"/>
        <v>2530.9440000000004</v>
      </c>
      <c r="F11" s="68">
        <f t="shared" si="2"/>
        <v>2250</v>
      </c>
    </row>
    <row r="12" spans="1:7" x14ac:dyDescent="0.2">
      <c r="A12" s="82">
        <v>4</v>
      </c>
      <c r="B12" s="24">
        <v>160</v>
      </c>
      <c r="C12" s="83">
        <f t="shared" si="0"/>
        <v>17.547878400000002</v>
      </c>
      <c r="D12" s="51">
        <f t="shared" si="1"/>
        <v>2807.6605440000003</v>
      </c>
      <c r="F12" s="68">
        <f t="shared" si="2"/>
        <v>2400</v>
      </c>
    </row>
    <row r="13" spans="1:7" x14ac:dyDescent="0.2">
      <c r="A13" s="82">
        <v>5</v>
      </c>
      <c r="B13" s="24">
        <v>170</v>
      </c>
      <c r="C13" s="83">
        <f t="shared" si="0"/>
        <v>18.249793536000006</v>
      </c>
      <c r="D13" s="51">
        <f t="shared" si="1"/>
        <v>3102.4649011200008</v>
      </c>
      <c r="F13" s="68">
        <f t="shared" si="2"/>
        <v>2550</v>
      </c>
    </row>
    <row r="14" spans="1:7" x14ac:dyDescent="0.2">
      <c r="A14" s="82">
        <v>6</v>
      </c>
      <c r="B14" s="24">
        <v>200</v>
      </c>
      <c r="C14" s="83">
        <f t="shared" si="0"/>
        <v>18.979785277440005</v>
      </c>
      <c r="D14" s="51">
        <f t="shared" si="1"/>
        <v>3795.9570554880011</v>
      </c>
      <c r="F14" s="68">
        <f t="shared" si="2"/>
        <v>3000</v>
      </c>
    </row>
    <row r="15" spans="1:7" x14ac:dyDescent="0.2">
      <c r="F15" s="68"/>
    </row>
    <row r="16" spans="1:7" x14ac:dyDescent="0.2">
      <c r="A16" s="25" t="s">
        <v>155</v>
      </c>
    </row>
    <row r="17" spans="1:3" ht="38.25" x14ac:dyDescent="0.2">
      <c r="A17" s="84" t="s">
        <v>156</v>
      </c>
      <c r="B17" s="67">
        <f>NPV(B4,D9:D14)+D8</f>
        <v>778.93319057110421</v>
      </c>
      <c r="C17" s="24" t="e">
        <f ca="1">getformula(B17)</f>
        <v>#NAME?</v>
      </c>
    </row>
    <row r="18" spans="1:3" ht="39" x14ac:dyDescent="0.25">
      <c r="A18" s="84" t="s">
        <v>157</v>
      </c>
      <c r="B18" s="72">
        <f>NPV(B5,F9:F14)+F8</f>
        <v>778.93319057110239</v>
      </c>
      <c r="C18" s="24" t="e">
        <f ca="1">getformula(B18)</f>
        <v>#NAME?</v>
      </c>
    </row>
    <row r="19" spans="1:3" x14ac:dyDescent="0.2">
      <c r="B19" s="34"/>
    </row>
    <row r="20" spans="1:3" x14ac:dyDescent="0.2">
      <c r="A20" s="25" t="s">
        <v>158</v>
      </c>
      <c r="B20" s="34"/>
    </row>
    <row r="21" spans="1:3" x14ac:dyDescent="0.2">
      <c r="A21" s="24" t="s">
        <v>159</v>
      </c>
      <c r="B21" s="69">
        <f>IRR(D8:D14)</f>
        <v>0.14466009741414187</v>
      </c>
      <c r="C21" s="24" t="e">
        <f ca="1">getformula(B21)</f>
        <v>#NAME?</v>
      </c>
    </row>
    <row r="22" spans="1:3" x14ac:dyDescent="0.2">
      <c r="A22" s="24" t="s">
        <v>160</v>
      </c>
      <c r="B22" s="69">
        <f>IRR(F8:F14)</f>
        <v>0.10063470905204586</v>
      </c>
      <c r="C22" s="24" t="e">
        <f ca="1">getformula(B22)</f>
        <v>#NAME?</v>
      </c>
    </row>
    <row r="23" spans="1:3" ht="15" x14ac:dyDescent="0.25">
      <c r="A23" s="24" t="s">
        <v>161</v>
      </c>
      <c r="B23" s="85">
        <f>(1+B21)/(1+B2)-1</f>
        <v>0.1006347090520594</v>
      </c>
      <c r="C23" s="24" t="e">
        <f ca="1">getformula(B23)</f>
        <v>#NAME?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G24"/>
  <sheetViews>
    <sheetView workbookViewId="0">
      <selection activeCell="B16" sqref="B16"/>
    </sheetView>
  </sheetViews>
  <sheetFormatPr defaultColWidth="9.140625" defaultRowHeight="12.75" x14ac:dyDescent="0.2"/>
  <cols>
    <col min="1" max="1" width="28.7109375" style="24" customWidth="1"/>
    <col min="2" max="2" width="17.42578125" style="24" bestFit="1" customWidth="1"/>
    <col min="3" max="3" width="24.140625" style="24" customWidth="1"/>
    <col min="4" max="4" width="12.28515625" style="24" customWidth="1"/>
    <col min="5" max="5" width="15.5703125" style="24" customWidth="1"/>
    <col min="6" max="6" width="12.140625" style="24" customWidth="1"/>
    <col min="7" max="7" width="20.7109375" style="24" bestFit="1" customWidth="1"/>
    <col min="8" max="16384" width="9.140625" style="24"/>
  </cols>
  <sheetData>
    <row r="1" spans="1:7" ht="39.75" customHeight="1" x14ac:dyDescent="0.4">
      <c r="A1" s="96" t="s">
        <v>162</v>
      </c>
      <c r="B1" s="96"/>
      <c r="C1" s="96"/>
      <c r="D1" s="96"/>
      <c r="E1" s="96"/>
      <c r="F1" s="96"/>
      <c r="G1" s="96"/>
    </row>
    <row r="2" spans="1:7" ht="12.4" x14ac:dyDescent="0.4">
      <c r="A2" s="24" t="s">
        <v>147</v>
      </c>
      <c r="B2" s="52">
        <v>0.04</v>
      </c>
    </row>
    <row r="3" spans="1:7" ht="12.4" x14ac:dyDescent="0.4">
      <c r="A3" s="24" t="s">
        <v>148</v>
      </c>
      <c r="B3" s="68">
        <v>15</v>
      </c>
    </row>
    <row r="4" spans="1:7" ht="12.4" x14ac:dyDescent="0.4">
      <c r="A4" s="24" t="s">
        <v>163</v>
      </c>
      <c r="B4" s="40">
        <v>0.08</v>
      </c>
    </row>
    <row r="5" spans="1:7" ht="12.4" x14ac:dyDescent="0.4">
      <c r="A5" s="24" t="s">
        <v>149</v>
      </c>
      <c r="B5" s="44">
        <v>0.12</v>
      </c>
    </row>
    <row r="6" spans="1:7" ht="12.4" x14ac:dyDescent="0.4">
      <c r="A6" s="24" t="s">
        <v>150</v>
      </c>
      <c r="B6" s="44">
        <f>(1+B5)/(1+B2)-1</f>
        <v>7.6923076923077094E-2</v>
      </c>
      <c r="C6" s="24" t="e">
        <f ca="1">getformula(B6)</f>
        <v>#NAME?</v>
      </c>
    </row>
    <row r="8" spans="1:7" s="37" customFormat="1" ht="63.75" x14ac:dyDescent="0.2">
      <c r="A8" s="46" t="s">
        <v>15</v>
      </c>
      <c r="B8" s="46" t="s">
        <v>151</v>
      </c>
      <c r="C8" s="46" t="s">
        <v>152</v>
      </c>
      <c r="D8" s="46" t="s">
        <v>153</v>
      </c>
      <c r="F8" s="46" t="s">
        <v>154</v>
      </c>
    </row>
    <row r="9" spans="1:7" x14ac:dyDescent="0.2">
      <c r="A9" s="82">
        <v>0</v>
      </c>
      <c r="C9" s="83"/>
      <c r="D9" s="51">
        <v>-9500</v>
      </c>
      <c r="F9" s="68">
        <f>D9</f>
        <v>-9500</v>
      </c>
    </row>
    <row r="10" spans="1:7" x14ac:dyDescent="0.2">
      <c r="A10" s="82">
        <v>1</v>
      </c>
      <c r="B10" s="24">
        <v>100</v>
      </c>
      <c r="C10" s="83">
        <f t="shared" ref="C10:C15" si="0">$B$3*(1+$B$4)^A10</f>
        <v>16.200000000000003</v>
      </c>
      <c r="D10" s="51">
        <f t="shared" ref="D10:D15" si="1">C10*B10</f>
        <v>1620.0000000000002</v>
      </c>
      <c r="E10" s="24" t="e">
        <f ca="1">getformula(D10)</f>
        <v>#NAME?</v>
      </c>
      <c r="F10" s="68">
        <f t="shared" ref="F10:F15" si="2">D10/(1+$B$2)^A10</f>
        <v>1557.6923076923078</v>
      </c>
      <c r="G10" s="24" t="e">
        <f ca="1">getformula(F10)</f>
        <v>#NAME?</v>
      </c>
    </row>
    <row r="11" spans="1:7" x14ac:dyDescent="0.2">
      <c r="A11" s="82">
        <v>2</v>
      </c>
      <c r="B11" s="24">
        <v>125</v>
      </c>
      <c r="C11" s="83">
        <f t="shared" si="0"/>
        <v>17.496000000000002</v>
      </c>
      <c r="D11" s="51">
        <f t="shared" si="1"/>
        <v>2187.0000000000005</v>
      </c>
      <c r="E11" s="24" t="e">
        <f ca="1">getformula(D11)</f>
        <v>#NAME?</v>
      </c>
      <c r="F11" s="68">
        <f t="shared" si="2"/>
        <v>2022.0044378698226</v>
      </c>
      <c r="G11" s="24" t="e">
        <f ca="1">getformula(F11)</f>
        <v>#NAME?</v>
      </c>
    </row>
    <row r="12" spans="1:7" x14ac:dyDescent="0.2">
      <c r="A12" s="82">
        <v>3</v>
      </c>
      <c r="B12" s="24">
        <v>150</v>
      </c>
      <c r="C12" s="83">
        <f t="shared" si="0"/>
        <v>18.895680000000002</v>
      </c>
      <c r="D12" s="51">
        <f t="shared" si="1"/>
        <v>2834.3520000000003</v>
      </c>
      <c r="F12" s="68">
        <f t="shared" si="2"/>
        <v>2519.7286071916251</v>
      </c>
    </row>
    <row r="13" spans="1:7" x14ac:dyDescent="0.2">
      <c r="A13" s="82">
        <v>4</v>
      </c>
      <c r="B13" s="24">
        <v>160</v>
      </c>
      <c r="C13" s="83">
        <f t="shared" si="0"/>
        <v>20.407334400000003</v>
      </c>
      <c r="D13" s="51">
        <f t="shared" si="1"/>
        <v>3265.1735040000003</v>
      </c>
      <c r="F13" s="68">
        <f t="shared" si="2"/>
        <v>2791.083995658415</v>
      </c>
    </row>
    <row r="14" spans="1:7" x14ac:dyDescent="0.2">
      <c r="A14" s="82">
        <v>5</v>
      </c>
      <c r="B14" s="24">
        <v>170</v>
      </c>
      <c r="C14" s="83">
        <f t="shared" si="0"/>
        <v>22.039921152000005</v>
      </c>
      <c r="D14" s="51">
        <f t="shared" si="1"/>
        <v>3746.7865958400007</v>
      </c>
      <c r="F14" s="68">
        <f t="shared" si="2"/>
        <v>3079.5854663634914</v>
      </c>
    </row>
    <row r="15" spans="1:7" x14ac:dyDescent="0.2">
      <c r="A15" s="82">
        <v>6</v>
      </c>
      <c r="B15" s="24">
        <v>200</v>
      </c>
      <c r="C15" s="83">
        <f t="shared" si="0"/>
        <v>23.803114844160007</v>
      </c>
      <c r="D15" s="51">
        <f t="shared" si="1"/>
        <v>4760.6229688320018</v>
      </c>
      <c r="F15" s="68">
        <f t="shared" si="2"/>
        <v>3762.3894837925018</v>
      </c>
    </row>
    <row r="16" spans="1:7" x14ac:dyDescent="0.2">
      <c r="C16" s="83"/>
    </row>
    <row r="17" spans="1:3" x14ac:dyDescent="0.2">
      <c r="A17" s="25" t="s">
        <v>155</v>
      </c>
    </row>
    <row r="18" spans="1:3" ht="38.25" x14ac:dyDescent="0.2">
      <c r="A18" s="84" t="s">
        <v>156</v>
      </c>
      <c r="B18" s="67">
        <f>NPV(B5,D10:D15)+D9</f>
        <v>2320.3112308314867</v>
      </c>
      <c r="C18" s="24" t="e">
        <f ca="1">getformula(B18)</f>
        <v>#NAME?</v>
      </c>
    </row>
    <row r="19" spans="1:3" ht="38.25" x14ac:dyDescent="0.2">
      <c r="A19" s="84" t="s">
        <v>157</v>
      </c>
      <c r="B19" s="73">
        <f>NPV(B6,F10:F15)+F9</f>
        <v>2320.3112308314812</v>
      </c>
      <c r="C19" s="24" t="e">
        <f ca="1">getformula(B19)</f>
        <v>#NAME?</v>
      </c>
    </row>
    <row r="20" spans="1:3" x14ac:dyDescent="0.2">
      <c r="B20" s="34"/>
    </row>
    <row r="21" spans="1:3" x14ac:dyDescent="0.2">
      <c r="A21" s="25" t="s">
        <v>158</v>
      </c>
      <c r="B21" s="34"/>
    </row>
    <row r="22" spans="1:3" x14ac:dyDescent="0.2">
      <c r="A22" s="24" t="s">
        <v>159</v>
      </c>
      <c r="B22" s="69">
        <f>IRR(D9:D15)</f>
        <v>0.18868548577416777</v>
      </c>
      <c r="C22" s="24" t="e">
        <f ca="1">getformula(B22)</f>
        <v>#NAME?</v>
      </c>
    </row>
    <row r="23" spans="1:3" x14ac:dyDescent="0.2">
      <c r="A23" s="24" t="s">
        <v>160</v>
      </c>
      <c r="B23" s="69">
        <f>IRR(F9:F15)</f>
        <v>0.14296681324636973</v>
      </c>
      <c r="C23" s="24" t="e">
        <f ca="1">getformula(B23)</f>
        <v>#NAME?</v>
      </c>
    </row>
    <row r="24" spans="1:3" x14ac:dyDescent="0.2">
      <c r="A24" s="24" t="s">
        <v>161</v>
      </c>
      <c r="B24" s="86">
        <f>(1+B22)/(1+B2)-1</f>
        <v>0.14296681324439198</v>
      </c>
      <c r="C24" s="24" t="e">
        <f ca="1">getformula(B24)</f>
        <v>#NAME?</v>
      </c>
    </row>
  </sheetData>
  <mergeCells count="1">
    <mergeCell ref="A1:G1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Index</vt:lpstr>
      <vt:lpstr>Page 176</vt:lpstr>
      <vt:lpstr>Page 177</vt:lpstr>
      <vt:lpstr>Page 178</vt:lpstr>
      <vt:lpstr>PageS 179, 181 and 182</vt:lpstr>
      <vt:lpstr>Page 183</vt:lpstr>
      <vt:lpstr>Pages 184+185</vt:lpstr>
      <vt:lpstr>Page 188</vt:lpstr>
      <vt:lpstr>Page 189</vt:lpstr>
      <vt:lpstr>Page 190</vt:lpstr>
      <vt:lpstr>Page 191</vt:lpstr>
      <vt:lpstr>Pages 192-193</vt:lpstr>
      <vt:lpstr>Page 195</vt:lpstr>
      <vt:lpstr>Page 196</vt:lpstr>
      <vt:lpstr>Page 197</vt:lpstr>
      <vt:lpstr>Page 198</vt:lpstr>
      <vt:lpstr>Page 199</vt:lpstr>
      <vt:lpstr>Page 202</vt:lpstr>
      <vt:lpstr>Page 204</vt:lpstr>
      <vt:lpstr>Page 205</vt:lpstr>
      <vt:lpstr>Page 207</vt:lpstr>
      <vt:lpstr>Page 208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2014-09-24T07:57:27Z</dcterms:created>
  <dcterms:modified xsi:type="dcterms:W3CDTF">2017-08-02T15:19:46Z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Chapter06 - Capital budgeting (1).xlsm</vt:lpwstr>
  </property>
</Properties>
</file>