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tables/table1.xml" ContentType="application/vnd.openxmlformats-officedocument.spreadsheetml.table+xml"/>
  <Override PartName="/xl/charts/chart2.xml" ContentType="application/vnd.openxmlformats-officedocument.drawingml.chart+xml"/>
  <Override PartName="/xl/drawings/drawing4.xml" ContentType="application/vnd.openxmlformats-officedocument.drawing+xml"/>
  <Override PartName="/xl/embeddings/oleObject2.bin" ContentType="application/vnd.openxmlformats-officedocument.oleObject"/>
  <Override PartName="/xl/pivotTables/pivotTable1.xml" ContentType="application/vnd.openxmlformats-officedocument.spreadsheetml.pivotTable+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charts/chart8.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codeName="{21656B06-1B9B-AA78-C99D-37B55691406E}"/>
  <workbookPr codeName="ThisWorkbook" defaultThemeVersion="124226"/>
  <bookViews>
    <workbookView xWindow="240" yWindow="120" windowWidth="9975" windowHeight="7695" firstSheet="4" activeTab="4"/>
  </bookViews>
  <sheets>
    <sheet name="Corp. bonds investment grad (2" sheetId="37" state="hidden" r:id="rId1"/>
    <sheet name="Corporate bonds junk (2)" sheetId="38" state="hidden" r:id="rId2"/>
    <sheet name="Corp. bonds investment grade" sheetId="35" state="hidden" r:id="rId3"/>
    <sheet name="Corporate bonds junk" sheetId="36" state="hidden" r:id="rId4"/>
    <sheet name="Index" sheetId="49" r:id="rId5"/>
    <sheet name="Page 461" sheetId="32" r:id="rId6"/>
    <sheet name="Page 463" sheetId="2" r:id="rId7"/>
    <sheet name="Page 464" sheetId="1" r:id="rId8"/>
    <sheet name="Page 465 timeline" sheetId="18" r:id="rId9"/>
    <sheet name="Page 465" sheetId="17" r:id="rId10"/>
    <sheet name="Page 467" sheetId="19" r:id="rId11"/>
    <sheet name="Page 468" sheetId="20" r:id="rId12"/>
    <sheet name="Page 469" sheetId="34" r:id="rId13"/>
    <sheet name="Accrued interest" sheetId="21" state="hidden" r:id="rId14"/>
    <sheet name="Page 471" sheetId="3" r:id="rId15"/>
    <sheet name="Page 473" sheetId="5" r:id="rId16"/>
    <sheet name="Page 474" sheetId="6" r:id="rId17"/>
    <sheet name="Page 478" sheetId="7" r:id="rId18"/>
    <sheet name="Page 479" sheetId="10" r:id="rId19"/>
    <sheet name="Page 480" sheetId="25" r:id="rId20"/>
    <sheet name="Page 483" sheetId="31" r:id="rId21"/>
    <sheet name="Page 485" sheetId="27" r:id="rId22"/>
    <sheet name="Page 486" sheetId="28" r:id="rId23"/>
    <sheet name="Pages 487+488" sheetId="16" r:id="rId24"/>
    <sheet name="Page 489" sheetId="33" r:id="rId25"/>
    <sheet name="Page 490" sheetId="44" r:id="rId26"/>
    <sheet name="Page 491" sheetId="45" r:id="rId27"/>
    <sheet name="Page 492" sheetId="46" r:id="rId28"/>
    <sheet name="Page 494" sheetId="47" r:id="rId29"/>
    <sheet name="Page 495" sheetId="48" r:id="rId30"/>
    <sheet name="Page 496" sheetId="39" r:id="rId31"/>
    <sheet name="Page 497" sheetId="40" r:id="rId32"/>
    <sheet name="Page 498" sheetId="41" r:id="rId33"/>
    <sheet name="Page 499" sheetId="42" r:id="rId34"/>
    <sheet name="Page 500" sheetId="43" r:id="rId35"/>
  </sheets>
  <definedNames>
    <definedName name="_xlnm.Print_Area" localSheetId="12">'Page 469'!$A$1:$N$17</definedName>
    <definedName name="ProjectEnd">'Page 469'!$L$21</definedName>
    <definedName name="ProjectStart">'Page 469'!$L$19</definedName>
    <definedName name="real_yield.shtml" localSheetId="34">'Page 500'!$A$5:$K$6</definedName>
    <definedName name="yield.shtml" localSheetId="34">'Page 500'!$A$2:$L$3</definedName>
  </definedNames>
  <calcPr calcId="144525" iterate="1"/>
  <pivotCaches>
    <pivotCache cacheId="0" r:id="rId36"/>
  </pivotCaches>
</workbook>
</file>

<file path=xl/calcChain.xml><?xml version="1.0" encoding="utf-8"?>
<calcChain xmlns="http://schemas.openxmlformats.org/spreadsheetml/2006/main">
  <c r="F11" i="33" l="1"/>
  <c r="C187" i="33"/>
  <c r="B187" i="33"/>
  <c r="A187" i="33"/>
  <c r="O9" i="33" s="1"/>
  <c r="C186" i="33"/>
  <c r="B186" i="33"/>
  <c r="E186" i="33" s="1"/>
  <c r="A186" i="33"/>
  <c r="B185" i="33"/>
  <c r="A185" i="33"/>
  <c r="C185" i="33" s="1"/>
  <c r="B184" i="33"/>
  <c r="A184" i="33"/>
  <c r="C184" i="33" s="1"/>
  <c r="C183" i="33"/>
  <c r="B183" i="33"/>
  <c r="A183" i="33"/>
  <c r="C182" i="33"/>
  <c r="B182" i="33"/>
  <c r="E182" i="33" s="1"/>
  <c r="A182" i="33"/>
  <c r="B181" i="33"/>
  <c r="A181" i="33"/>
  <c r="C181" i="33" s="1"/>
  <c r="B180" i="33"/>
  <c r="A180" i="33"/>
  <c r="C180" i="33" s="1"/>
  <c r="C179" i="33"/>
  <c r="B179" i="33"/>
  <c r="A179" i="33"/>
  <c r="C178" i="33"/>
  <c r="B178" i="33"/>
  <c r="E178" i="33" s="1"/>
  <c r="A178" i="33"/>
  <c r="B177" i="33"/>
  <c r="A177" i="33"/>
  <c r="C177" i="33" s="1"/>
  <c r="B176" i="33"/>
  <c r="A176" i="33"/>
  <c r="C176" i="33" s="1"/>
  <c r="C175" i="33"/>
  <c r="B175" i="33"/>
  <c r="A175" i="33"/>
  <c r="C174" i="33"/>
  <c r="B174" i="33"/>
  <c r="E174" i="33" s="1"/>
  <c r="A174" i="33"/>
  <c r="B173" i="33"/>
  <c r="A173" i="33"/>
  <c r="C173" i="33" s="1"/>
  <c r="B172" i="33"/>
  <c r="A172" i="33"/>
  <c r="C172" i="33" s="1"/>
  <c r="C171" i="33"/>
  <c r="B171" i="33"/>
  <c r="A171" i="33"/>
  <c r="C170" i="33"/>
  <c r="B170" i="33"/>
  <c r="A170" i="33"/>
  <c r="B169" i="33"/>
  <c r="A169" i="33"/>
  <c r="C169" i="33" s="1"/>
  <c r="B168" i="33"/>
  <c r="A168" i="33"/>
  <c r="C168" i="33" s="1"/>
  <c r="C167" i="33"/>
  <c r="B167" i="33"/>
  <c r="A167" i="33"/>
  <c r="C166" i="33"/>
  <c r="B166" i="33"/>
  <c r="E166" i="33" s="1"/>
  <c r="A166" i="33"/>
  <c r="B165" i="33"/>
  <c r="A165" i="33"/>
  <c r="C165" i="33" s="1"/>
  <c r="B164" i="33"/>
  <c r="A164" i="33"/>
  <c r="C164" i="33" s="1"/>
  <c r="C163" i="33"/>
  <c r="B163" i="33"/>
  <c r="A163" i="33"/>
  <c r="C162" i="33"/>
  <c r="B162" i="33"/>
  <c r="E162" i="33" s="1"/>
  <c r="A162" i="33"/>
  <c r="B161" i="33"/>
  <c r="A161" i="33"/>
  <c r="C161" i="33" s="1"/>
  <c r="B160" i="33"/>
  <c r="A160" i="33"/>
  <c r="C160" i="33" s="1"/>
  <c r="C159" i="33"/>
  <c r="B159" i="33"/>
  <c r="A159" i="33"/>
  <c r="C158" i="33"/>
  <c r="B158" i="33"/>
  <c r="E158" i="33" s="1"/>
  <c r="A158" i="33"/>
  <c r="B157" i="33"/>
  <c r="A157" i="33"/>
  <c r="C157" i="33" s="1"/>
  <c r="B156" i="33"/>
  <c r="A156" i="33"/>
  <c r="C156" i="33" s="1"/>
  <c r="C155" i="33"/>
  <c r="B155" i="33"/>
  <c r="A155" i="33"/>
  <c r="C154" i="33"/>
  <c r="B154" i="33"/>
  <c r="E154" i="33" s="1"/>
  <c r="A154" i="33"/>
  <c r="B153" i="33"/>
  <c r="A153" i="33"/>
  <c r="C153" i="33" s="1"/>
  <c r="B152" i="33"/>
  <c r="A152" i="33"/>
  <c r="C152" i="33" s="1"/>
  <c r="C151" i="33"/>
  <c r="B151" i="33"/>
  <c r="A151" i="33"/>
  <c r="C150" i="33"/>
  <c r="B150" i="33"/>
  <c r="E150" i="33" s="1"/>
  <c r="A150" i="33"/>
  <c r="B149" i="33"/>
  <c r="A149" i="33"/>
  <c r="C149" i="33" s="1"/>
  <c r="B148" i="33"/>
  <c r="A148" i="33"/>
  <c r="C148" i="33" s="1"/>
  <c r="C147" i="33"/>
  <c r="B147" i="33"/>
  <c r="A147" i="33"/>
  <c r="C146" i="33"/>
  <c r="B146" i="33"/>
  <c r="E146" i="33" s="1"/>
  <c r="A146" i="33"/>
  <c r="B145" i="33"/>
  <c r="A145" i="33"/>
  <c r="C145" i="33" s="1"/>
  <c r="B144" i="33"/>
  <c r="A144" i="33"/>
  <c r="C144" i="33" s="1"/>
  <c r="C143" i="33"/>
  <c r="B143" i="33"/>
  <c r="A143" i="33"/>
  <c r="C142" i="33"/>
  <c r="B142" i="33"/>
  <c r="E142" i="33" s="1"/>
  <c r="A142" i="33"/>
  <c r="B141" i="33"/>
  <c r="A141" i="33"/>
  <c r="C141" i="33" s="1"/>
  <c r="B140" i="33"/>
  <c r="A140" i="33"/>
  <c r="C140" i="33" s="1"/>
  <c r="C139" i="33"/>
  <c r="B139" i="33"/>
  <c r="A139" i="33"/>
  <c r="C138" i="33"/>
  <c r="B138" i="33"/>
  <c r="E138" i="33" s="1"/>
  <c r="A138" i="33"/>
  <c r="B137" i="33"/>
  <c r="A137" i="33"/>
  <c r="C137" i="33" s="1"/>
  <c r="B136" i="33"/>
  <c r="A136" i="33"/>
  <c r="C136" i="33" s="1"/>
  <c r="C135" i="33"/>
  <c r="B135" i="33"/>
  <c r="A135" i="33"/>
  <c r="C134" i="33"/>
  <c r="B134" i="33"/>
  <c r="E134" i="33" s="1"/>
  <c r="A134" i="33"/>
  <c r="B133" i="33"/>
  <c r="A133" i="33"/>
  <c r="C133" i="33" s="1"/>
  <c r="B132" i="33"/>
  <c r="A132" i="33"/>
  <c r="C132" i="33" s="1"/>
  <c r="C131" i="33"/>
  <c r="B131" i="33"/>
  <c r="A131" i="33"/>
  <c r="C130" i="33"/>
  <c r="B130" i="33"/>
  <c r="E130" i="33" s="1"/>
  <c r="A130" i="33"/>
  <c r="B129" i="33"/>
  <c r="A129" i="33"/>
  <c r="C129" i="33" s="1"/>
  <c r="B128" i="33"/>
  <c r="A128" i="33"/>
  <c r="C128" i="33" s="1"/>
  <c r="C127" i="33"/>
  <c r="B127" i="33"/>
  <c r="A127" i="33"/>
  <c r="C126" i="33"/>
  <c r="B126" i="33"/>
  <c r="E126" i="33" s="1"/>
  <c r="A126" i="33"/>
  <c r="B125" i="33"/>
  <c r="A125" i="33"/>
  <c r="C125" i="33" s="1"/>
  <c r="B124" i="33"/>
  <c r="A124" i="33"/>
  <c r="C124" i="33" s="1"/>
  <c r="C123" i="33"/>
  <c r="B123" i="33"/>
  <c r="A123" i="33"/>
  <c r="C122" i="33"/>
  <c r="B122" i="33"/>
  <c r="E122" i="33" s="1"/>
  <c r="A122" i="33"/>
  <c r="B121" i="33"/>
  <c r="A121" i="33"/>
  <c r="C121" i="33" s="1"/>
  <c r="B120" i="33"/>
  <c r="A120" i="33"/>
  <c r="C120" i="33" s="1"/>
  <c r="C119" i="33"/>
  <c r="B119" i="33"/>
  <c r="A119" i="33"/>
  <c r="C118" i="33"/>
  <c r="B118" i="33"/>
  <c r="E118" i="33" s="1"/>
  <c r="A118" i="33"/>
  <c r="B117" i="33"/>
  <c r="A117" i="33"/>
  <c r="C117" i="33" s="1"/>
  <c r="B116" i="33"/>
  <c r="A116" i="33"/>
  <c r="C116" i="33" s="1"/>
  <c r="C115" i="33"/>
  <c r="B115" i="33"/>
  <c r="A115" i="33"/>
  <c r="C114" i="33"/>
  <c r="B114" i="33"/>
  <c r="E114" i="33" s="1"/>
  <c r="A114" i="33"/>
  <c r="B113" i="33"/>
  <c r="A113" i="33"/>
  <c r="C113" i="33" s="1"/>
  <c r="B112" i="33"/>
  <c r="A112" i="33"/>
  <c r="C112" i="33" s="1"/>
  <c r="C111" i="33"/>
  <c r="B111" i="33"/>
  <c r="A111" i="33"/>
  <c r="C110" i="33"/>
  <c r="B110" i="33"/>
  <c r="E110" i="33" s="1"/>
  <c r="A110" i="33"/>
  <c r="B109" i="33"/>
  <c r="A109" i="33"/>
  <c r="C109" i="33" s="1"/>
  <c r="B108" i="33"/>
  <c r="A108" i="33"/>
  <c r="C108" i="33" s="1"/>
  <c r="C107" i="33"/>
  <c r="B107" i="33"/>
  <c r="A107" i="33"/>
  <c r="C106" i="33"/>
  <c r="B106" i="33"/>
  <c r="E106" i="33" s="1"/>
  <c r="A106" i="33"/>
  <c r="B105" i="33"/>
  <c r="A105" i="33"/>
  <c r="C105" i="33" s="1"/>
  <c r="B104" i="33"/>
  <c r="A104" i="33"/>
  <c r="C104" i="33" s="1"/>
  <c r="C103" i="33"/>
  <c r="B103" i="33"/>
  <c r="A103" i="33"/>
  <c r="C102" i="33"/>
  <c r="B102" i="33"/>
  <c r="E102" i="33" s="1"/>
  <c r="A102" i="33"/>
  <c r="B101" i="33"/>
  <c r="A101" i="33"/>
  <c r="C101" i="33" s="1"/>
  <c r="B100" i="33"/>
  <c r="A100" i="33"/>
  <c r="C100" i="33" s="1"/>
  <c r="C99" i="33"/>
  <c r="B99" i="33"/>
  <c r="A99" i="33"/>
  <c r="C98" i="33"/>
  <c r="B98" i="33"/>
  <c r="E98" i="33" s="1"/>
  <c r="A98" i="33"/>
  <c r="B97" i="33"/>
  <c r="A97" i="33"/>
  <c r="C97" i="33" s="1"/>
  <c r="B96" i="33"/>
  <c r="A96" i="33"/>
  <c r="C96" i="33" s="1"/>
  <c r="C95" i="33"/>
  <c r="B95" i="33"/>
  <c r="A95" i="33"/>
  <c r="C94" i="33"/>
  <c r="B94" i="33"/>
  <c r="E94" i="33" s="1"/>
  <c r="A94" i="33"/>
  <c r="B93" i="33"/>
  <c r="A93" i="33"/>
  <c r="C93" i="33" s="1"/>
  <c r="B92" i="33"/>
  <c r="A92" i="33"/>
  <c r="C92" i="33" s="1"/>
  <c r="C91" i="33"/>
  <c r="B91" i="33"/>
  <c r="A91" i="33"/>
  <c r="C90" i="33"/>
  <c r="B90" i="33"/>
  <c r="E90" i="33" s="1"/>
  <c r="A90" i="33"/>
  <c r="B89" i="33"/>
  <c r="A89" i="33"/>
  <c r="C89" i="33" s="1"/>
  <c r="B88" i="33"/>
  <c r="A88" i="33"/>
  <c r="C88" i="33" s="1"/>
  <c r="C87" i="33"/>
  <c r="B87" i="33"/>
  <c r="A87" i="33"/>
  <c r="C86" i="33"/>
  <c r="B86" i="33"/>
  <c r="E86" i="33" s="1"/>
  <c r="A86" i="33"/>
  <c r="B85" i="33"/>
  <c r="A85" i="33"/>
  <c r="C85" i="33" s="1"/>
  <c r="B84" i="33"/>
  <c r="A84" i="33"/>
  <c r="C84" i="33" s="1"/>
  <c r="C83" i="33"/>
  <c r="B83" i="33"/>
  <c r="A83" i="33"/>
  <c r="C82" i="33"/>
  <c r="B82" i="33"/>
  <c r="E82" i="33" s="1"/>
  <c r="A82" i="33"/>
  <c r="B81" i="33"/>
  <c r="A81" i="33"/>
  <c r="C81" i="33" s="1"/>
  <c r="B80" i="33"/>
  <c r="A80" i="33"/>
  <c r="C80" i="33" s="1"/>
  <c r="C79" i="33"/>
  <c r="B79" i="33"/>
  <c r="A79" i="33"/>
  <c r="C78" i="33"/>
  <c r="B78" i="33"/>
  <c r="E78" i="33" s="1"/>
  <c r="A78" i="33"/>
  <c r="B77" i="33"/>
  <c r="A77" i="33"/>
  <c r="C77" i="33" s="1"/>
  <c r="B76" i="33"/>
  <c r="A76" i="33"/>
  <c r="C76" i="33" s="1"/>
  <c r="C75" i="33"/>
  <c r="B75" i="33"/>
  <c r="A75" i="33"/>
  <c r="C74" i="33"/>
  <c r="B74" i="33"/>
  <c r="E74" i="33" s="1"/>
  <c r="A74" i="33"/>
  <c r="B73" i="33"/>
  <c r="A73" i="33"/>
  <c r="C73" i="33" s="1"/>
  <c r="B72" i="33"/>
  <c r="A72" i="33"/>
  <c r="C72" i="33" s="1"/>
  <c r="C71" i="33"/>
  <c r="B71" i="33"/>
  <c r="A71" i="33"/>
  <c r="C70" i="33"/>
  <c r="B70" i="33"/>
  <c r="E70" i="33" s="1"/>
  <c r="A70" i="33"/>
  <c r="B69" i="33"/>
  <c r="A69" i="33"/>
  <c r="C69" i="33" s="1"/>
  <c r="B68" i="33"/>
  <c r="A68" i="33"/>
  <c r="C68" i="33" s="1"/>
  <c r="C67" i="33"/>
  <c r="B67" i="33"/>
  <c r="A67" i="33"/>
  <c r="C66" i="33"/>
  <c r="B66" i="33"/>
  <c r="E66" i="33" s="1"/>
  <c r="A66" i="33"/>
  <c r="B65" i="33"/>
  <c r="A65" i="33"/>
  <c r="C65" i="33" s="1"/>
  <c r="B64" i="33"/>
  <c r="A64" i="33"/>
  <c r="C64" i="33" s="1"/>
  <c r="C63" i="33"/>
  <c r="B63" i="33"/>
  <c r="A63" i="33"/>
  <c r="C62" i="33"/>
  <c r="B62" i="33"/>
  <c r="E62" i="33" s="1"/>
  <c r="A62" i="33"/>
  <c r="B61" i="33"/>
  <c r="A61" i="33"/>
  <c r="C61" i="33" s="1"/>
  <c r="B60" i="33"/>
  <c r="A60" i="33"/>
  <c r="C60" i="33" s="1"/>
  <c r="C59" i="33"/>
  <c r="B59" i="33"/>
  <c r="A59" i="33"/>
  <c r="C58" i="33"/>
  <c r="B58" i="33"/>
  <c r="E58" i="33" s="1"/>
  <c r="A58" i="33"/>
  <c r="B57" i="33"/>
  <c r="A57" i="33"/>
  <c r="C57" i="33" s="1"/>
  <c r="B56" i="33"/>
  <c r="A56" i="33"/>
  <c r="C56" i="33" s="1"/>
  <c r="C55" i="33"/>
  <c r="B55" i="33"/>
  <c r="A55" i="33"/>
  <c r="C54" i="33"/>
  <c r="B54" i="33"/>
  <c r="E54" i="33" s="1"/>
  <c r="A54" i="33"/>
  <c r="B53" i="33"/>
  <c r="A53" i="33"/>
  <c r="C53" i="33" s="1"/>
  <c r="B52" i="33"/>
  <c r="A52" i="33"/>
  <c r="C52" i="33" s="1"/>
  <c r="C51" i="33"/>
  <c r="B51" i="33"/>
  <c r="A51" i="33"/>
  <c r="C50" i="33"/>
  <c r="B50" i="33"/>
  <c r="E50" i="33" s="1"/>
  <c r="A50" i="33"/>
  <c r="B49" i="33"/>
  <c r="A49" i="33"/>
  <c r="C49" i="33" s="1"/>
  <c r="B48" i="33"/>
  <c r="A48" i="33"/>
  <c r="C48" i="33" s="1"/>
  <c r="C47" i="33"/>
  <c r="B47" i="33"/>
  <c r="A47" i="33"/>
  <c r="C46" i="33"/>
  <c r="B46" i="33"/>
  <c r="E46" i="33" s="1"/>
  <c r="A46" i="33"/>
  <c r="B45" i="33"/>
  <c r="A45" i="33"/>
  <c r="C45" i="33" s="1"/>
  <c r="B44" i="33"/>
  <c r="A44" i="33"/>
  <c r="C44" i="33" s="1"/>
  <c r="C43" i="33"/>
  <c r="B43" i="33"/>
  <c r="A43" i="33"/>
  <c r="C42" i="33"/>
  <c r="B42" i="33"/>
  <c r="E42" i="33" s="1"/>
  <c r="A42" i="33"/>
  <c r="B41" i="33"/>
  <c r="A41" i="33"/>
  <c r="C41" i="33" s="1"/>
  <c r="B40" i="33"/>
  <c r="A40" i="33"/>
  <c r="C40" i="33" s="1"/>
  <c r="C39" i="33"/>
  <c r="B39" i="33"/>
  <c r="A39" i="33"/>
  <c r="C38" i="33"/>
  <c r="B38" i="33"/>
  <c r="E38" i="33" s="1"/>
  <c r="A38" i="33"/>
  <c r="B37" i="33"/>
  <c r="A37" i="33"/>
  <c r="C37" i="33" s="1"/>
  <c r="B36" i="33"/>
  <c r="A36" i="33"/>
  <c r="C36" i="33" s="1"/>
  <c r="C35" i="33"/>
  <c r="B35" i="33"/>
  <c r="A35" i="33"/>
  <c r="C34" i="33"/>
  <c r="B34" i="33"/>
  <c r="E34" i="33" s="1"/>
  <c r="A34" i="33"/>
  <c r="B33" i="33"/>
  <c r="A33" i="33"/>
  <c r="C33" i="33" s="1"/>
  <c r="B32" i="33"/>
  <c r="A32" i="33"/>
  <c r="C32" i="33" s="1"/>
  <c r="C31" i="33"/>
  <c r="B31" i="33"/>
  <c r="A31" i="33"/>
  <c r="C30" i="33"/>
  <c r="B30" i="33"/>
  <c r="E30" i="33" s="1"/>
  <c r="A30" i="33"/>
  <c r="B29" i="33"/>
  <c r="A29" i="33"/>
  <c r="C29" i="33" s="1"/>
  <c r="B28" i="33"/>
  <c r="A28" i="33"/>
  <c r="C28" i="33" s="1"/>
  <c r="C27" i="33"/>
  <c r="B27" i="33"/>
  <c r="A27" i="33"/>
  <c r="C26" i="33"/>
  <c r="B26" i="33"/>
  <c r="E26" i="33" s="1"/>
  <c r="A26" i="33"/>
  <c r="B25" i="33"/>
  <c r="A25" i="33"/>
  <c r="C25" i="33" s="1"/>
  <c r="B24" i="33"/>
  <c r="A24" i="33"/>
  <c r="C24" i="33" s="1"/>
  <c r="C23" i="33"/>
  <c r="B23" i="33"/>
  <c r="A23" i="33"/>
  <c r="C22" i="33"/>
  <c r="B22" i="33"/>
  <c r="E22" i="33" s="1"/>
  <c r="A22" i="33"/>
  <c r="B21" i="33"/>
  <c r="A21" i="33"/>
  <c r="C21" i="33" s="1"/>
  <c r="B20" i="33"/>
  <c r="A20" i="33"/>
  <c r="C20" i="33" s="1"/>
  <c r="C19" i="33"/>
  <c r="B19" i="33"/>
  <c r="A19" i="33"/>
  <c r="C18" i="33"/>
  <c r="B18" i="33"/>
  <c r="E18" i="33" s="1"/>
  <c r="A18" i="33"/>
  <c r="B17" i="33"/>
  <c r="A17" i="33"/>
  <c r="C17" i="33" s="1"/>
  <c r="B16" i="33"/>
  <c r="A16" i="33"/>
  <c r="C16" i="33" s="1"/>
  <c r="C15" i="33"/>
  <c r="B15" i="33"/>
  <c r="A15" i="33"/>
  <c r="C14" i="33"/>
  <c r="B14" i="33"/>
  <c r="E14" i="33" s="1"/>
  <c r="A14" i="33"/>
  <c r="B13" i="33"/>
  <c r="A13" i="33"/>
  <c r="C13" i="33" s="1"/>
  <c r="B12" i="33"/>
  <c r="A12" i="33"/>
  <c r="C12" i="33" s="1"/>
  <c r="C11" i="33"/>
  <c r="B11" i="33"/>
  <c r="A11" i="33"/>
  <c r="C10" i="33"/>
  <c r="B10" i="33"/>
  <c r="E10" i="33" s="1"/>
  <c r="A10" i="33"/>
  <c r="B9" i="33"/>
  <c r="A9" i="33"/>
  <c r="C9" i="33" s="1"/>
  <c r="B8" i="33"/>
  <c r="A8" i="33"/>
  <c r="C8" i="33" s="1"/>
  <c r="C7" i="33"/>
  <c r="B7" i="33"/>
  <c r="A7" i="33"/>
  <c r="F5" i="33"/>
  <c r="D6" i="33"/>
  <c r="E9" i="33" l="1"/>
  <c r="E21" i="33"/>
  <c r="E29" i="33"/>
  <c r="E33" i="33"/>
  <c r="E41" i="33"/>
  <c r="E77" i="33"/>
  <c r="E109" i="33"/>
  <c r="E117" i="33"/>
  <c r="E129" i="33"/>
  <c r="E141" i="33"/>
  <c r="E8" i="33"/>
  <c r="E16" i="33"/>
  <c r="E24" i="33"/>
  <c r="E28" i="33"/>
  <c r="E32" i="33"/>
  <c r="E36" i="33"/>
  <c r="E40" i="33"/>
  <c r="E44" i="33"/>
  <c r="E52" i="33"/>
  <c r="E56" i="33"/>
  <c r="E60" i="33"/>
  <c r="E72" i="33"/>
  <c r="E7" i="33"/>
  <c r="E11" i="33"/>
  <c r="E15" i="33"/>
  <c r="E19" i="33"/>
  <c r="E23" i="33"/>
  <c r="E27" i="33"/>
  <c r="E31" i="33"/>
  <c r="E35" i="33"/>
  <c r="E39" i="33"/>
  <c r="E43" i="33"/>
  <c r="E47" i="33"/>
  <c r="E51" i="33"/>
  <c r="E55" i="33"/>
  <c r="E59" i="33"/>
  <c r="E63" i="33"/>
  <c r="E67" i="33"/>
  <c r="E71" i="33"/>
  <c r="E75" i="33"/>
  <c r="E79" i="33"/>
  <c r="E83" i="33"/>
  <c r="E87" i="33"/>
  <c r="E91" i="33"/>
  <c r="E95" i="33"/>
  <c r="E99" i="33"/>
  <c r="E103" i="33"/>
  <c r="E107" i="33"/>
  <c r="E111" i="33"/>
  <c r="E115" i="33"/>
  <c r="E119" i="33"/>
  <c r="E123" i="33"/>
  <c r="E127" i="33"/>
  <c r="E131" i="33"/>
  <c r="E135" i="33"/>
  <c r="E139" i="33"/>
  <c r="E143" i="33"/>
  <c r="E147" i="33"/>
  <c r="E151" i="33"/>
  <c r="E155" i="33"/>
  <c r="E159" i="33"/>
  <c r="E163" i="33"/>
  <c r="E167" i="33"/>
  <c r="E171" i="33"/>
  <c r="E175" i="33"/>
  <c r="E179" i="33"/>
  <c r="E183" i="33"/>
  <c r="E187" i="33"/>
  <c r="E170" i="33"/>
  <c r="E25" i="33"/>
  <c r="E37" i="33"/>
  <c r="E49" i="33"/>
  <c r="E57" i="33"/>
  <c r="E69" i="33"/>
  <c r="E73" i="33"/>
  <c r="E85" i="33"/>
  <c r="E101" i="33"/>
  <c r="E113" i="33"/>
  <c r="E125" i="33"/>
  <c r="E133" i="33"/>
  <c r="E137" i="33"/>
  <c r="E149" i="33"/>
  <c r="E157" i="33"/>
  <c r="E161" i="33"/>
  <c r="E165" i="33"/>
  <c r="E169" i="33"/>
  <c r="E173" i="33"/>
  <c r="E177" i="33"/>
  <c r="E181" i="33"/>
  <c r="E185" i="33"/>
  <c r="E13" i="33"/>
  <c r="E17" i="33"/>
  <c r="E45" i="33"/>
  <c r="E53" i="33"/>
  <c r="E61" i="33"/>
  <c r="E65" i="33"/>
  <c r="E81" i="33"/>
  <c r="E89" i="33"/>
  <c r="E93" i="33"/>
  <c r="E97" i="33"/>
  <c r="E105" i="33"/>
  <c r="E121" i="33"/>
  <c r="E145" i="33"/>
  <c r="E153" i="33"/>
  <c r="E12" i="33"/>
  <c r="E20" i="33"/>
  <c r="E48" i="33"/>
  <c r="E64" i="33"/>
  <c r="E68" i="33"/>
  <c r="E76" i="33"/>
  <c r="E80" i="33"/>
  <c r="E84" i="33"/>
  <c r="E88" i="33"/>
  <c r="E92" i="33"/>
  <c r="E96" i="33"/>
  <c r="E100" i="33"/>
  <c r="E104" i="33"/>
  <c r="E108" i="33"/>
  <c r="E112" i="33"/>
  <c r="E116" i="33"/>
  <c r="E120" i="33"/>
  <c r="E124" i="33"/>
  <c r="E128" i="33"/>
  <c r="E132" i="33"/>
  <c r="E136" i="33"/>
  <c r="E140" i="33"/>
  <c r="E144" i="33"/>
  <c r="E148" i="33"/>
  <c r="E152" i="33"/>
  <c r="E156" i="33"/>
  <c r="E160" i="33"/>
  <c r="E164" i="33"/>
  <c r="E168" i="33"/>
  <c r="E172" i="33"/>
  <c r="E176" i="33"/>
  <c r="E180" i="33"/>
  <c r="E184" i="33"/>
  <c r="C6" i="33"/>
  <c r="B6" i="33"/>
  <c r="A6" i="33"/>
  <c r="D5" i="33"/>
  <c r="E6" i="33" l="1"/>
  <c r="C5" i="33"/>
  <c r="B5" i="33"/>
  <c r="A5" i="33"/>
  <c r="O8" i="33" s="1"/>
  <c r="C173" i="25"/>
  <c r="C172" i="25"/>
  <c r="E5" i="33" l="1"/>
  <c r="B172" i="25"/>
  <c r="C170" i="25"/>
  <c r="C169" i="25"/>
  <c r="C168" i="25"/>
  <c r="C166" i="25"/>
  <c r="B166" i="25"/>
  <c r="B165" i="25"/>
  <c r="B164" i="25"/>
  <c r="B163" i="25"/>
  <c r="B162" i="25"/>
  <c r="B161" i="25"/>
  <c r="B160" i="25"/>
  <c r="B159" i="25"/>
  <c r="B158" i="25"/>
  <c r="B157" i="25"/>
  <c r="B156" i="25"/>
  <c r="B155" i="25"/>
  <c r="B154" i="25"/>
  <c r="B153" i="25"/>
  <c r="B152" i="25"/>
  <c r="B151" i="25"/>
  <c r="B150" i="25"/>
  <c r="B149" i="25"/>
  <c r="B148" i="25"/>
  <c r="B147" i="25"/>
  <c r="B146" i="25"/>
  <c r="B145" i="25"/>
  <c r="B144" i="25"/>
  <c r="B143" i="25"/>
  <c r="B142" i="25"/>
  <c r="B141" i="25"/>
  <c r="B140" i="25"/>
  <c r="B139" i="25"/>
  <c r="B138" i="25"/>
  <c r="B137" i="25"/>
  <c r="B136" i="25"/>
  <c r="B135" i="25"/>
  <c r="B134" i="25"/>
  <c r="B133" i="25"/>
  <c r="B132" i="25"/>
  <c r="B131" i="25"/>
  <c r="B130" i="25"/>
  <c r="B129" i="25"/>
  <c r="B128" i="25"/>
  <c r="B127" i="25"/>
  <c r="B126" i="25"/>
  <c r="B125" i="25"/>
  <c r="B124" i="25"/>
  <c r="B123" i="25"/>
  <c r="B122" i="25"/>
  <c r="B121" i="25"/>
  <c r="B120" i="25"/>
  <c r="B119" i="25"/>
  <c r="B118" i="25"/>
  <c r="B117" i="25"/>
  <c r="B116" i="25"/>
  <c r="B115" i="25"/>
  <c r="B114" i="25"/>
  <c r="B113" i="25"/>
  <c r="B112" i="25"/>
  <c r="B111" i="25"/>
  <c r="B110" i="25"/>
  <c r="B109" i="25"/>
  <c r="B108" i="25"/>
  <c r="B107" i="25"/>
  <c r="B106" i="25"/>
  <c r="B105" i="25"/>
  <c r="B104" i="25"/>
  <c r="B103" i="25"/>
  <c r="B102" i="25"/>
  <c r="B101" i="25"/>
  <c r="B100" i="25"/>
  <c r="B99" i="25"/>
  <c r="B98" i="25"/>
  <c r="B97" i="25"/>
  <c r="B96" i="25"/>
  <c r="B95" i="25"/>
  <c r="B94" i="25"/>
  <c r="B93" i="25"/>
  <c r="B92" i="25"/>
  <c r="B91" i="25"/>
  <c r="B90" i="25"/>
  <c r="B89" i="25"/>
  <c r="B88" i="25"/>
  <c r="B87" i="25"/>
  <c r="B86" i="25"/>
  <c r="B85" i="25"/>
  <c r="B84" i="25"/>
  <c r="B83" i="25"/>
  <c r="B82" i="25"/>
  <c r="B81" i="25"/>
  <c r="B80" i="25"/>
  <c r="B79" i="25"/>
  <c r="B78" i="25"/>
  <c r="B77" i="25"/>
  <c r="B76" i="25"/>
  <c r="B75" i="25"/>
  <c r="B74" i="25"/>
  <c r="B73" i="25"/>
  <c r="B72" i="25"/>
  <c r="B71" i="25"/>
  <c r="B70" i="25"/>
  <c r="B69" i="25"/>
  <c r="B68" i="25"/>
  <c r="B67" i="25"/>
  <c r="B66" i="25"/>
  <c r="B65" i="25"/>
  <c r="B64" i="25"/>
  <c r="B63" i="25"/>
  <c r="B62" i="25"/>
  <c r="B61" i="25"/>
  <c r="B60" i="25"/>
  <c r="B59" i="25"/>
  <c r="B58" i="25"/>
  <c r="B57" i="25"/>
  <c r="B56" i="25"/>
  <c r="B55" i="25"/>
  <c r="B54" i="25"/>
  <c r="B53" i="25"/>
  <c r="B52" i="25"/>
  <c r="B51" i="25"/>
  <c r="B50" i="25"/>
  <c r="B49" i="25"/>
  <c r="B48" i="25"/>
  <c r="B47" i="25"/>
  <c r="B46" i="25"/>
  <c r="B45" i="25"/>
  <c r="B44" i="25"/>
  <c r="B43" i="25"/>
  <c r="B42" i="25"/>
  <c r="B41" i="25"/>
  <c r="B40" i="25"/>
  <c r="B39" i="25"/>
  <c r="B38" i="25"/>
  <c r="B37" i="25"/>
  <c r="B36" i="25"/>
  <c r="B35" i="25"/>
  <c r="B34" i="25"/>
  <c r="B33" i="25"/>
  <c r="B32" i="25"/>
  <c r="B31" i="25"/>
  <c r="B30" i="25"/>
  <c r="B29" i="25"/>
  <c r="B28" i="25"/>
  <c r="B27" i="25"/>
  <c r="B26" i="25"/>
  <c r="B25" i="25"/>
  <c r="B24" i="25"/>
  <c r="B23" i="25"/>
  <c r="B22" i="25"/>
  <c r="B21" i="25"/>
  <c r="B20" i="25"/>
  <c r="B19" i="25"/>
  <c r="B18" i="25"/>
  <c r="B17" i="25"/>
  <c r="B16" i="25"/>
  <c r="B15" i="25"/>
  <c r="B14" i="25"/>
  <c r="B13" i="25"/>
  <c r="B12" i="25"/>
  <c r="B11" i="25"/>
  <c r="C13" i="25"/>
  <c r="C12" i="25"/>
  <c r="C11" i="25"/>
  <c r="B169" i="25" l="1"/>
  <c r="A11" i="25"/>
  <c r="B168" i="25" s="1"/>
  <c r="B173" i="25" l="1"/>
  <c r="B170" i="25"/>
  <c r="F18" i="48"/>
  <c r="B18" i="48"/>
  <c r="D5" i="48"/>
  <c r="D6" i="48"/>
  <c r="D7" i="48"/>
  <c r="D8" i="48"/>
  <c r="F8" i="48"/>
  <c r="D9" i="48"/>
  <c r="D10" i="48"/>
  <c r="D11" i="48"/>
  <c r="D12" i="48"/>
  <c r="F12" i="48"/>
  <c r="D13" i="48"/>
  <c r="D14" i="48"/>
  <c r="D15" i="48"/>
  <c r="D16" i="48"/>
  <c r="F16" i="48"/>
  <c r="D4" i="48"/>
  <c r="F4" i="48"/>
  <c r="F5" i="48"/>
  <c r="F6" i="48"/>
  <c r="F7" i="48"/>
  <c r="F9" i="48"/>
  <c r="F10" i="48"/>
  <c r="F11" i="48"/>
  <c r="F13" i="48"/>
  <c r="F14" i="48"/>
  <c r="F15" i="48"/>
  <c r="F3" i="48"/>
  <c r="C11" i="47"/>
  <c r="C10" i="47"/>
  <c r="C8" i="47"/>
  <c r="B8" i="47"/>
  <c r="C6" i="47"/>
  <c r="B4" i="46"/>
  <c r="B3" i="46"/>
  <c r="F5" i="45"/>
  <c r="F4" i="45"/>
  <c r="F3" i="45"/>
  <c r="C5" i="45"/>
  <c r="C6" i="45"/>
  <c r="C7" i="45"/>
  <c r="C8" i="45"/>
  <c r="C9" i="45"/>
  <c r="C10" i="45"/>
  <c r="C11" i="45"/>
  <c r="C12" i="45"/>
  <c r="C13" i="45"/>
  <c r="C14" i="45"/>
  <c r="C15" i="45"/>
  <c r="C16" i="45"/>
  <c r="C17" i="45"/>
  <c r="C18" i="45"/>
  <c r="C19" i="45"/>
  <c r="C20" i="45"/>
  <c r="C21" i="45"/>
  <c r="C22" i="45"/>
  <c r="C23" i="45"/>
  <c r="C24" i="45"/>
  <c r="C25" i="45"/>
  <c r="C26" i="45"/>
  <c r="C27" i="45"/>
  <c r="C28" i="45"/>
  <c r="C29" i="45"/>
  <c r="C30" i="45"/>
  <c r="C31" i="45"/>
  <c r="C32" i="45"/>
  <c r="C33" i="45"/>
  <c r="C34" i="45"/>
  <c r="C35" i="45"/>
  <c r="C36" i="45"/>
  <c r="C37" i="45"/>
  <c r="C38" i="45"/>
  <c r="C39" i="45"/>
  <c r="C40" i="45"/>
  <c r="C41" i="45"/>
  <c r="C42" i="45"/>
  <c r="C43" i="45"/>
  <c r="C44" i="45"/>
  <c r="C45" i="45"/>
  <c r="C46" i="45"/>
  <c r="C47" i="45"/>
  <c r="C48" i="45"/>
  <c r="C49" i="45"/>
  <c r="C50" i="45"/>
  <c r="C51" i="45"/>
  <c r="C52" i="45"/>
  <c r="C53" i="45"/>
  <c r="C54" i="45"/>
  <c r="C55" i="45"/>
  <c r="C56" i="45"/>
  <c r="C57" i="45"/>
  <c r="C58" i="45"/>
  <c r="C59" i="45"/>
  <c r="C60" i="45"/>
  <c r="C61" i="45"/>
  <c r="C62" i="45"/>
  <c r="C63" i="45"/>
  <c r="C64" i="45"/>
  <c r="C65" i="45"/>
  <c r="C66" i="45"/>
  <c r="C67" i="45"/>
  <c r="C68" i="45"/>
  <c r="C69" i="45"/>
  <c r="C4" i="45"/>
  <c r="C4" i="44"/>
  <c r="C5" i="44"/>
  <c r="C6" i="44"/>
  <c r="C7" i="44"/>
  <c r="C8" i="44"/>
  <c r="C9" i="44"/>
  <c r="C10" i="44"/>
  <c r="C11" i="44"/>
  <c r="C12" i="44"/>
  <c r="C13" i="44"/>
  <c r="C14" i="44"/>
  <c r="C15" i="44"/>
  <c r="C16" i="44"/>
  <c r="C17" i="44"/>
  <c r="C18" i="44"/>
  <c r="C19" i="44"/>
  <c r="C20" i="44"/>
  <c r="C21" i="44"/>
  <c r="C22" i="44"/>
  <c r="C23" i="44"/>
  <c r="C24" i="44"/>
  <c r="C25" i="44"/>
  <c r="C26" i="44"/>
  <c r="C27" i="44"/>
  <c r="C28" i="44"/>
  <c r="C29" i="44"/>
  <c r="C30" i="44"/>
  <c r="C31" i="44"/>
  <c r="C32" i="44"/>
  <c r="C33" i="44"/>
  <c r="C34" i="44"/>
  <c r="C35" i="44"/>
  <c r="C36" i="44"/>
  <c r="C37" i="44"/>
  <c r="C38" i="44"/>
  <c r="C39" i="44"/>
  <c r="C40" i="44"/>
  <c r="C41" i="44"/>
  <c r="C42" i="44"/>
  <c r="C43" i="44"/>
  <c r="C44" i="44"/>
  <c r="C45" i="44"/>
  <c r="C46" i="44"/>
  <c r="C47" i="44"/>
  <c r="C48" i="44"/>
  <c r="C49" i="44"/>
  <c r="C50" i="44"/>
  <c r="C51" i="44"/>
  <c r="C52" i="44"/>
  <c r="C53" i="44"/>
  <c r="C54" i="44"/>
  <c r="C55" i="44"/>
  <c r="C56" i="44"/>
  <c r="C57" i="44"/>
  <c r="C58" i="44"/>
  <c r="C59" i="44"/>
  <c r="C60" i="44"/>
  <c r="C61" i="44"/>
  <c r="C62" i="44"/>
  <c r="C63" i="44"/>
  <c r="C64" i="44"/>
  <c r="C65" i="44"/>
  <c r="C66" i="44"/>
  <c r="C67" i="44"/>
  <c r="C68" i="44"/>
  <c r="C69" i="44"/>
  <c r="C3" i="44"/>
  <c r="A42" i="43"/>
  <c r="A41" i="43"/>
  <c r="A40" i="43"/>
  <c r="A39" i="43"/>
  <c r="A38" i="43"/>
  <c r="A37" i="43"/>
  <c r="A36" i="43"/>
  <c r="A35" i="43"/>
  <c r="A34" i="43"/>
  <c r="A33" i="43"/>
  <c r="A32" i="43"/>
  <c r="L8" i="43"/>
  <c r="K8" i="43"/>
  <c r="J8" i="43"/>
  <c r="I8" i="43"/>
  <c r="H8" i="43"/>
  <c r="G8" i="43"/>
  <c r="F8" i="43"/>
  <c r="E8" i="43"/>
  <c r="D8" i="43"/>
  <c r="C8" i="43"/>
  <c r="B8" i="43"/>
  <c r="B7" i="42"/>
  <c r="B10" i="42"/>
  <c r="B8" i="42"/>
  <c r="B25" i="42"/>
  <c r="B24" i="42"/>
  <c r="B23" i="42"/>
  <c r="B22" i="42"/>
  <c r="B21" i="42"/>
  <c r="B20" i="42"/>
  <c r="B19" i="42"/>
  <c r="B18" i="42"/>
  <c r="B17" i="42"/>
  <c r="B11" i="42"/>
  <c r="B14" i="42"/>
  <c r="C19" i="41"/>
  <c r="B19" i="41"/>
  <c r="C18" i="41"/>
  <c r="B18" i="41"/>
  <c r="C17" i="41"/>
  <c r="B17" i="41"/>
  <c r="C16" i="41"/>
  <c r="B16" i="41"/>
  <c r="C15" i="41"/>
  <c r="B15" i="41"/>
  <c r="C14" i="41"/>
  <c r="B14" i="41"/>
  <c r="C13" i="41"/>
  <c r="B13" i="41"/>
  <c r="C12" i="41"/>
  <c r="B12" i="41"/>
  <c r="C11" i="41"/>
  <c r="B11" i="41"/>
  <c r="B8" i="41"/>
  <c r="B7" i="41"/>
  <c r="B19" i="40"/>
  <c r="B7" i="40"/>
  <c r="B18" i="40"/>
  <c r="B10" i="40"/>
  <c r="B11" i="40"/>
  <c r="B12" i="40"/>
  <c r="B10" i="39"/>
  <c r="B11" i="39"/>
  <c r="B12" i="39"/>
  <c r="B7" i="39"/>
  <c r="B32" i="6"/>
  <c r="B33" i="6"/>
  <c r="B9" i="28"/>
  <c r="B10" i="28"/>
  <c r="B6" i="28"/>
  <c r="A15" i="28"/>
  <c r="B7" i="28"/>
  <c r="B15" i="28"/>
  <c r="G10" i="28"/>
  <c r="G7" i="28"/>
  <c r="G6" i="28"/>
  <c r="B4" i="27"/>
  <c r="B5" i="27"/>
  <c r="B8" i="27"/>
  <c r="B9" i="27"/>
  <c r="G11" i="28"/>
  <c r="G13" i="28"/>
  <c r="B7" i="31"/>
  <c r="B6" i="31"/>
  <c r="B3" i="31"/>
  <c r="B12" i="31"/>
  <c r="B4" i="31"/>
  <c r="B5" i="31"/>
  <c r="B2" i="31"/>
  <c r="B29" i="31"/>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20" i="10"/>
  <c r="B21" i="10"/>
  <c r="A11" i="10"/>
  <c r="A10" i="10"/>
  <c r="B5" i="10"/>
  <c r="B68"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B57" i="7"/>
  <c r="B58" i="7"/>
  <c r="B59" i="7"/>
  <c r="B60" i="7"/>
  <c r="B61" i="7"/>
  <c r="B62" i="7"/>
  <c r="B63" i="7"/>
  <c r="B64" i="7"/>
  <c r="B65" i="7"/>
  <c r="B66" i="7"/>
  <c r="B67" i="7"/>
  <c r="B8" i="7"/>
  <c r="A8" i="7"/>
  <c r="B5" i="6"/>
  <c r="A11" i="6"/>
  <c r="B3" i="5"/>
  <c r="B10" i="5"/>
  <c r="A12" i="20"/>
  <c r="A12" i="1"/>
  <c r="A19" i="20"/>
  <c r="B22" i="20"/>
  <c r="E20" i="34"/>
  <c r="E21" i="34"/>
  <c r="E22" i="34"/>
  <c r="E23" i="34"/>
  <c r="E24" i="34"/>
  <c r="E25" i="34"/>
  <c r="E26" i="34"/>
  <c r="E27" i="34"/>
  <c r="D28" i="34"/>
  <c r="E28" i="34"/>
  <c r="E29" i="34"/>
  <c r="E30" i="34"/>
  <c r="E31" i="34"/>
  <c r="A7" i="1"/>
  <c r="A14" i="20"/>
  <c r="A8" i="1"/>
  <c r="A15" i="20"/>
  <c r="A9" i="1"/>
  <c r="A16" i="20"/>
  <c r="A10" i="1"/>
  <c r="A17" i="20"/>
  <c r="A11" i="1"/>
  <c r="A18" i="20"/>
  <c r="A6" i="1"/>
  <c r="A13" i="20"/>
  <c r="A12" i="17"/>
  <c r="A11" i="17"/>
  <c r="A10" i="17"/>
  <c r="A9" i="17"/>
  <c r="A8" i="17"/>
  <c r="A7" i="17"/>
  <c r="A6" i="17"/>
  <c r="B14" i="17"/>
  <c r="H10" i="18"/>
  <c r="G10" i="18"/>
  <c r="F10" i="18"/>
  <c r="E10" i="18"/>
  <c r="D10" i="18"/>
  <c r="C10" i="18"/>
  <c r="B10" i="18"/>
  <c r="A5" i="1"/>
  <c r="F5" i="1"/>
  <c r="D12" i="32"/>
  <c r="B12" i="32"/>
  <c r="C12" i="32"/>
  <c r="D13" i="32"/>
  <c r="B13" i="32"/>
  <c r="C13" i="32"/>
  <c r="D14" i="32"/>
  <c r="C14" i="32"/>
  <c r="B14" i="32"/>
  <c r="D15" i="32"/>
  <c r="C15" i="32"/>
  <c r="B15" i="32"/>
  <c r="D16" i="32"/>
  <c r="B16" i="32"/>
  <c r="C16" i="32"/>
  <c r="D17" i="32"/>
  <c r="B17" i="32"/>
  <c r="C17" i="32"/>
  <c r="D4" i="32"/>
  <c r="C4" i="32"/>
  <c r="B4" i="32"/>
  <c r="D5" i="32"/>
  <c r="C5" i="32"/>
  <c r="B5" i="32"/>
  <c r="D6" i="32"/>
  <c r="B6" i="32"/>
  <c r="C6" i="32"/>
  <c r="D7" i="32"/>
  <c r="B7" i="32"/>
  <c r="C7" i="32"/>
  <c r="D8" i="32"/>
  <c r="C8" i="32"/>
  <c r="B8" i="32"/>
  <c r="D9" i="32"/>
  <c r="C9" i="32"/>
  <c r="B9" i="32"/>
  <c r="D10" i="32"/>
  <c r="B10" i="32"/>
  <c r="C10" i="32"/>
  <c r="D11" i="32"/>
  <c r="B11" i="32"/>
  <c r="C11" i="32"/>
  <c r="D3" i="32"/>
  <c r="C3" i="32"/>
  <c r="B3" i="32"/>
  <c r="B29" i="6"/>
  <c r="B27" i="6"/>
  <c r="B28" i="6"/>
  <c r="B20" i="21"/>
  <c r="B19" i="21"/>
  <c r="F6" i="1"/>
  <c r="F7" i="1"/>
  <c r="F8" i="1"/>
  <c r="F9" i="1"/>
  <c r="F10" i="1"/>
  <c r="F11" i="1"/>
  <c r="F12" i="1"/>
  <c r="F13" i="1"/>
  <c r="F14" i="1"/>
  <c r="F15" i="1"/>
  <c r="F16" i="1"/>
  <c r="F17" i="1"/>
  <c r="F18" i="1"/>
  <c r="F19" i="1"/>
  <c r="B13" i="1"/>
  <c r="A11" i="31"/>
  <c r="B11" i="31"/>
  <c r="B14" i="31"/>
  <c r="B18" i="31"/>
  <c r="B22" i="31"/>
  <c r="B26" i="31"/>
  <c r="B13" i="6"/>
  <c r="B14" i="6"/>
  <c r="B15" i="6"/>
  <c r="B16" i="6"/>
  <c r="B17" i="6"/>
  <c r="B18" i="6"/>
  <c r="B19" i="6"/>
  <c r="B20" i="6"/>
  <c r="B21" i="6"/>
  <c r="B22" i="6"/>
  <c r="B23" i="6"/>
  <c r="B24" i="6"/>
  <c r="B25" i="6"/>
  <c r="B26" i="6"/>
  <c r="B12" i="6"/>
  <c r="E11" i="6"/>
  <c r="D4" i="20"/>
  <c r="D3" i="20"/>
  <c r="B5" i="19"/>
  <c r="B24" i="19"/>
  <c r="B5" i="17"/>
  <c r="B5" i="2"/>
  <c r="B14" i="2"/>
  <c r="B4" i="3"/>
  <c r="B5" i="16"/>
  <c r="C19" i="16"/>
  <c r="B10" i="16"/>
  <c r="C20" i="16"/>
  <c r="B15" i="16"/>
  <c r="C21" i="16"/>
  <c r="E8" i="10"/>
  <c r="E9" i="10"/>
  <c r="E11" i="10"/>
  <c r="E12" i="10"/>
  <c r="B6" i="10"/>
  <c r="B7" i="10"/>
  <c r="B10" i="10"/>
  <c r="B68" i="10"/>
  <c r="B11" i="10"/>
  <c r="B12" i="10"/>
  <c r="B13" i="10"/>
  <c r="B14" i="10"/>
  <c r="B15" i="10"/>
  <c r="B16" i="10"/>
  <c r="B17" i="10"/>
  <c r="B18" i="10"/>
  <c r="B19" i="10"/>
  <c r="B66" i="10"/>
  <c r="B69" i="10"/>
  <c r="B70" i="10"/>
  <c r="B9" i="7"/>
  <c r="B10" i="7"/>
  <c r="B11" i="7"/>
  <c r="B12" i="7"/>
  <c r="B13" i="7"/>
  <c r="B14" i="7"/>
  <c r="B15" i="7"/>
  <c r="B16" i="7"/>
  <c r="B17" i="7"/>
  <c r="B18" i="7"/>
  <c r="B19" i="7"/>
  <c r="E8" i="6"/>
  <c r="E9" i="6"/>
  <c r="A10" i="5"/>
  <c r="B11" i="5"/>
  <c r="B12" i="5"/>
  <c r="B13" i="5"/>
  <c r="B14" i="5"/>
  <c r="B15" i="5"/>
  <c r="B16" i="5"/>
  <c r="B17" i="5"/>
  <c r="B18" i="5"/>
  <c r="B19" i="5"/>
  <c r="B20" i="5"/>
  <c r="B21" i="5"/>
  <c r="B22" i="5"/>
  <c r="B23" i="5"/>
  <c r="B24" i="5"/>
  <c r="B25" i="5"/>
  <c r="B26" i="5"/>
  <c r="B27" i="5"/>
  <c r="B28" i="5"/>
  <c r="B29" i="5"/>
  <c r="B30" i="5"/>
  <c r="B70" i="7"/>
  <c r="B71" i="7"/>
  <c r="B21" i="19"/>
  <c r="B22" i="19"/>
  <c r="B8" i="20"/>
  <c r="B9" i="20"/>
  <c r="B12" i="20"/>
  <c r="B21" i="20"/>
  <c r="B72" i="7"/>
  <c r="B8" i="3"/>
  <c r="B9" i="3"/>
  <c r="B15" i="3"/>
  <c r="B5" i="3"/>
  <c r="B12" i="3"/>
  <c r="B16" i="3"/>
  <c r="B32" i="5"/>
  <c r="B33" i="5"/>
  <c r="E12" i="6"/>
  <c r="B6" i="6"/>
  <c r="B8" i="6"/>
  <c r="B11" i="6"/>
  <c r="B31" i="6"/>
  <c r="B15" i="40"/>
  <c r="B16" i="40"/>
  <c r="B13" i="40"/>
  <c r="C25" i="42"/>
  <c r="C23" i="42"/>
  <c r="C21" i="42"/>
  <c r="C19" i="42"/>
  <c r="C17" i="42"/>
  <c r="B13" i="42"/>
  <c r="C24" i="42"/>
  <c r="C22" i="42"/>
  <c r="C20" i="42"/>
  <c r="C18" i="42"/>
  <c r="B34" i="5"/>
  <c r="C22" i="16"/>
  <c r="B26" i="16"/>
  <c r="B30" i="16"/>
  <c r="B15" i="39"/>
  <c r="B13" i="39"/>
  <c r="B23" i="31"/>
  <c r="B19" i="31"/>
  <c r="B15" i="31"/>
  <c r="B25" i="31"/>
  <c r="B21" i="31"/>
  <c r="B17" i="31"/>
  <c r="B13" i="31"/>
  <c r="B28" i="31"/>
  <c r="B24" i="31"/>
  <c r="B20" i="31"/>
  <c r="B16" i="31"/>
  <c r="B11" i="28"/>
  <c r="B28" i="28"/>
  <c r="B30" i="28"/>
  <c r="B22" i="28"/>
  <c r="B18" i="28"/>
  <c r="B25" i="28"/>
  <c r="B21" i="28"/>
  <c r="B29" i="28"/>
  <c r="B23" i="28"/>
  <c r="B27" i="28"/>
  <c r="B31" i="28"/>
  <c r="B12" i="28"/>
  <c r="B32" i="28"/>
  <c r="B20" i="28"/>
  <c r="B16" i="28"/>
  <c r="B26" i="28"/>
  <c r="B19" i="28"/>
  <c r="B17" i="28"/>
  <c r="B24" i="28"/>
  <c r="B34" i="28"/>
  <c r="B5" i="49"/>
  <c r="B14" i="49"/>
  <c r="B34" i="43"/>
  <c r="E5" i="48"/>
  <c r="C66" i="10"/>
  <c r="D20" i="16"/>
  <c r="C9" i="3"/>
  <c r="C11" i="31"/>
  <c r="C11" i="39"/>
  <c r="C7" i="42"/>
  <c r="D6" i="44"/>
  <c r="C19" i="40"/>
  <c r="B24" i="49"/>
  <c r="G3" i="45"/>
  <c r="C9" i="7"/>
  <c r="C17" i="28"/>
  <c r="F8" i="10"/>
  <c r="F12" i="6"/>
  <c r="B12" i="49"/>
  <c r="B41" i="43"/>
  <c r="C5" i="27"/>
  <c r="G7" i="1"/>
  <c r="D22" i="16"/>
  <c r="C16" i="40"/>
  <c r="E4" i="20"/>
  <c r="B16" i="49"/>
  <c r="G5" i="48"/>
  <c r="D5" i="45"/>
  <c r="C10" i="28"/>
  <c r="C9" i="28"/>
  <c r="G4" i="48"/>
  <c r="F11" i="6"/>
  <c r="D3" i="44"/>
  <c r="B21" i="49"/>
  <c r="B30" i="49"/>
  <c r="B37" i="43"/>
  <c r="D8" i="47"/>
  <c r="G8" i="1"/>
  <c r="C31" i="6"/>
  <c r="C10" i="16"/>
  <c r="C15" i="39"/>
  <c r="C4" i="3"/>
  <c r="F8" i="6"/>
  <c r="C5" i="19"/>
  <c r="B13" i="49"/>
  <c r="B42" i="43"/>
  <c r="C70" i="10"/>
  <c r="C10" i="42"/>
  <c r="C9" i="20"/>
  <c r="C11" i="5"/>
  <c r="B10" i="49"/>
  <c r="B32" i="43"/>
  <c r="C12" i="40"/>
  <c r="C21" i="20"/>
  <c r="C15" i="3"/>
  <c r="C6" i="6"/>
  <c r="B28" i="49"/>
  <c r="B36" i="43"/>
  <c r="E4" i="48"/>
  <c r="D5" i="44"/>
  <c r="C7" i="41"/>
  <c r="G6" i="1"/>
  <c r="C22" i="20"/>
  <c r="C15" i="28"/>
  <c r="C6" i="28"/>
  <c r="C68" i="7"/>
  <c r="C12" i="39"/>
  <c r="C5" i="16"/>
  <c r="B15" i="49"/>
  <c r="C4" i="46"/>
  <c r="C30" i="16"/>
  <c r="C15" i="16"/>
  <c r="C12" i="5"/>
  <c r="C6" i="10"/>
  <c r="B38" i="43"/>
  <c r="C8" i="3"/>
  <c r="G5" i="1"/>
  <c r="C10" i="10"/>
  <c r="D19" i="44"/>
  <c r="C11" i="42"/>
  <c r="C13" i="1"/>
  <c r="C16" i="28"/>
  <c r="C13" i="40"/>
  <c r="B6" i="49"/>
  <c r="D6" i="45"/>
  <c r="C7" i="39"/>
  <c r="B19" i="49"/>
  <c r="B8" i="49"/>
  <c r="B39" i="43"/>
  <c r="G5" i="45"/>
  <c r="C14" i="42"/>
  <c r="C69" i="10"/>
  <c r="D19" i="16"/>
  <c r="C33" i="5"/>
  <c r="C68" i="10"/>
  <c r="C20" i="21"/>
  <c r="C7" i="40"/>
  <c r="B31" i="49"/>
  <c r="C18" i="48"/>
  <c r="C32" i="5"/>
  <c r="C10" i="40"/>
  <c r="C32" i="28"/>
  <c r="C11" i="10"/>
  <c r="C28" i="31"/>
  <c r="B26" i="49"/>
  <c r="E6" i="48"/>
  <c r="C8" i="7"/>
  <c r="C72" i="7"/>
  <c r="F9" i="6"/>
  <c r="B9" i="49"/>
  <c r="B18" i="49"/>
  <c r="B33" i="43"/>
  <c r="D6" i="47"/>
  <c r="C22" i="19"/>
  <c r="C71" i="7"/>
  <c r="C4" i="27"/>
  <c r="C8" i="20"/>
  <c r="C34" i="5"/>
  <c r="C11" i="28"/>
  <c r="C9" i="27"/>
  <c r="C7" i="10"/>
  <c r="B35" i="43"/>
  <c r="D19" i="45"/>
  <c r="D4" i="44"/>
  <c r="C11" i="6"/>
  <c r="E16" i="48"/>
  <c r="C12" i="31"/>
  <c r="C21" i="19"/>
  <c r="F9" i="10"/>
  <c r="F12" i="10"/>
  <c r="C14" i="2"/>
  <c r="B27" i="49"/>
  <c r="B20" i="49"/>
  <c r="B3" i="49"/>
  <c r="G16" i="48"/>
  <c r="D4" i="45"/>
  <c r="C13" i="39"/>
  <c r="C8" i="42"/>
  <c r="D11" i="41"/>
  <c r="D21" i="16"/>
  <c r="C15" i="40"/>
  <c r="C8" i="6"/>
  <c r="C32" i="6"/>
  <c r="C10" i="39"/>
  <c r="B22" i="49"/>
  <c r="D11" i="47"/>
  <c r="C14" i="17"/>
  <c r="C30" i="5"/>
  <c r="C13" i="42"/>
  <c r="C12" i="6"/>
  <c r="B17" i="49"/>
  <c r="B4" i="49"/>
  <c r="C3" i="46"/>
  <c r="C11" i="40"/>
  <c r="C12" i="28"/>
  <c r="C8" i="41"/>
  <c r="B25" i="49"/>
  <c r="B7" i="49"/>
  <c r="G18" i="48"/>
  <c r="G4" i="45"/>
  <c r="C34" i="28"/>
  <c r="C13" i="31"/>
  <c r="C29" i="31"/>
  <c r="C5" i="10"/>
  <c r="C16" i="3"/>
  <c r="E3" i="20"/>
  <c r="B29" i="49"/>
  <c r="B40" i="43"/>
  <c r="C24" i="19"/>
  <c r="C19" i="21"/>
  <c r="C10" i="7"/>
  <c r="F11" i="10"/>
  <c r="B11" i="49"/>
  <c r="D10" i="47"/>
  <c r="D17" i="42"/>
  <c r="C70" i="7"/>
  <c r="C33" i="6"/>
  <c r="B23" i="49"/>
  <c r="C18" i="40"/>
  <c r="C12" i="3"/>
  <c r="C8" i="27"/>
  <c r="C10" i="5"/>
  <c r="C26" i="31"/>
  <c r="C5" i="3"/>
</calcChain>
</file>

<file path=xl/connections.xml><?xml version="1.0" encoding="utf-8"?>
<connections xmlns="http://schemas.openxmlformats.org/spreadsheetml/2006/main">
  <connection id="1" name="Connection" type="4" refreshedVersion="3" deleted="1" background="1" saveData="1">
    <webPr sourceData="1" parsePre="1" consecutive="1" xl2000="1" htmlTables="1"/>
  </connection>
  <connection id="2" name="Connection1" type="4" refreshedVersion="3" deleted="1" background="1" saveData="1">
    <webPr sourceData="1" parsePre="1" consecutive="1" xl2000="1" htmlTables="1"/>
  </connection>
</connections>
</file>

<file path=xl/sharedStrings.xml><?xml version="1.0" encoding="utf-8"?>
<sst xmlns="http://schemas.openxmlformats.org/spreadsheetml/2006/main" count="1877" uniqueCount="501">
  <si>
    <t>Market interest rate</t>
  </si>
  <si>
    <t>Year</t>
  </si>
  <si>
    <t>Bond
cash flow</t>
  </si>
  <si>
    <t>Bond
value</t>
  </si>
  <si>
    <t>Market price of bond</t>
  </si>
  <si>
    <t>YTM of bond</t>
  </si>
  <si>
    <t>Purchase price</t>
  </si>
  <si>
    <t>Face value</t>
  </si>
  <si>
    <t>Daily interest rate</t>
  </si>
  <si>
    <t>Continuously compounded</t>
  </si>
  <si>
    <t>Principal amount ($ million)</t>
  </si>
  <si>
    <t>Coupon rate</t>
  </si>
  <si>
    <t>Maturity date</t>
  </si>
  <si>
    <t>Issue date</t>
  </si>
  <si>
    <t>Date</t>
  </si>
  <si>
    <t>Cash flow</t>
  </si>
  <si>
    <t>Face value of bonds bought</t>
  </si>
  <si>
    <t>Market price</t>
  </si>
  <si>
    <t>Accrued interest</t>
  </si>
  <si>
    <t>Actual price paid</t>
  </si>
  <si>
    <t>Value of the bond</t>
  </si>
  <si>
    <t>Today's date</t>
  </si>
  <si>
    <t>Last coupon date</t>
  </si>
  <si>
    <t>Next coupon date</t>
  </si>
  <si>
    <t>Accrued interest calculation</t>
  </si>
  <si>
    <t>Days since last coupon</t>
  </si>
  <si>
    <t>Days between coupons</t>
  </si>
  <si>
    <t>Semi-annual coupon</t>
  </si>
  <si>
    <t>Excel's Yield annualized</t>
  </si>
  <si>
    <t>Cash flows to purchaser at bond issue</t>
  </si>
  <si>
    <t>PRICES AND YIELDS OF U.S. TREASURY STRIPS</t>
  </si>
  <si>
    <t>Current date</t>
  </si>
  <si>
    <t>Maturity</t>
  </si>
  <si>
    <t>Price</t>
  </si>
  <si>
    <t>Bond price</t>
  </si>
  <si>
    <t>Market
interest rate</t>
  </si>
  <si>
    <t xml:space="preserve">Price today </t>
  </si>
  <si>
    <t>Payoff in one year</t>
  </si>
  <si>
    <t>IRR</t>
  </si>
  <si>
    <t>Price today</t>
  </si>
  <si>
    <t>Payoff in two years</t>
  </si>
  <si>
    <t>Payment</t>
  </si>
  <si>
    <t>Present value of 
 payment</t>
  </si>
  <si>
    <t>Zero-coupon bond C:  maturity in three years</t>
  </si>
  <si>
    <t>Zero-coupon bond B:  maturity in two years</t>
  </si>
  <si>
    <t>USING ZERO-COUPONS TO DETERMINE 
BOND DISCOUNT RATES</t>
  </si>
  <si>
    <t>Coupon bond D:  A bond with payments at end of years 1, 2, 3</t>
  </si>
  <si>
    <t>Determining the yield to maturity (YTM) of bond D</t>
  </si>
  <si>
    <t>YTM</t>
  </si>
  <si>
    <t>Time to maturity (days)</t>
  </si>
  <si>
    <t>Method 1:  Compound the daily return</t>
  </si>
  <si>
    <t>Method 2:  Calculate the continuously compounded return</t>
  </si>
  <si>
    <t>Method 1</t>
  </si>
  <si>
    <t>Method 2</t>
  </si>
  <si>
    <r>
      <t xml:space="preserve">Future value </t>
    </r>
    <r>
      <rPr>
        <b/>
        <i/>
        <sz val="10"/>
        <rFont val="Arial"/>
        <family val="2"/>
      </rPr>
      <t>in one year</t>
    </r>
    <r>
      <rPr>
        <b/>
        <sz val="10"/>
        <rFont val="Arial"/>
        <family val="2"/>
      </rPr>
      <t xml:space="preserve"> using each method</t>
    </r>
  </si>
  <si>
    <t>VALUING THE XYZ CORPORATION BONDS</t>
  </si>
  <si>
    <t>Quoted bond price</t>
  </si>
  <si>
    <t>Bond purchase date</t>
  </si>
  <si>
    <t>Coupon payment over the period</t>
  </si>
  <si>
    <t>Number of days since last coupon</t>
  </si>
  <si>
    <t>Number of days between coupons</t>
  </si>
  <si>
    <t>Actual bond price paid</t>
  </si>
  <si>
    <t>ACCRUED INTEREST AND YTM COMPUTATIONS</t>
  </si>
  <si>
    <t xml:space="preserve"> COMPUTING THE 
ACCRUED INTEREST</t>
  </si>
  <si>
    <r>
      <t xml:space="preserve">YTM of bond, using </t>
    </r>
    <r>
      <rPr>
        <b/>
        <sz val="10"/>
        <rFont val="Arial"/>
        <family val="2"/>
      </rPr>
      <t>Yield</t>
    </r>
  </si>
  <si>
    <r>
      <t xml:space="preserve">YTM of bond, using </t>
    </r>
    <r>
      <rPr>
        <b/>
        <sz val="10"/>
        <rFont val="Arial"/>
        <family val="2"/>
      </rPr>
      <t>XIRR</t>
    </r>
  </si>
  <si>
    <t>YTM--the annualized rate</t>
  </si>
  <si>
    <t>COMPUTING THE YIELD TO MATURITY (YTM)  
ON TREASURY BILLS</t>
  </si>
  <si>
    <t>YTM using XIRR</t>
  </si>
  <si>
    <t>Quoted price</t>
  </si>
  <si>
    <t>YTM using Excel's Yield function</t>
  </si>
  <si>
    <t>First call</t>
  </si>
  <si>
    <t>Computing the Yield to First Call (YTC)</t>
  </si>
  <si>
    <t>Using XIRR</t>
  </si>
  <si>
    <t>Using Yield</t>
  </si>
  <si>
    <r>
      <t xml:space="preserve">YTM computed with </t>
    </r>
    <r>
      <rPr>
        <b/>
        <sz val="10"/>
        <rFont val="Arial"/>
        <family val="2"/>
      </rPr>
      <t>XIRR</t>
    </r>
  </si>
  <si>
    <t>Semiannual IRR of payments</t>
  </si>
  <si>
    <t>YTM--annualized semiannual IRR</t>
  </si>
  <si>
    <t>GENERAL ELECTRIC BONDS</t>
  </si>
  <si>
    <t>4 times the YTM</t>
  </si>
  <si>
    <t>&lt;-- The date the bonds are sold</t>
  </si>
  <si>
    <t>Bond price on current date</t>
  </si>
  <si>
    <t>Annualizing the quarterly IRR</t>
  </si>
  <si>
    <t>Annual dividend</t>
  </si>
  <si>
    <t>Annualized yield</t>
  </si>
  <si>
    <t>Call date</t>
  </si>
  <si>
    <t>Last dividend date</t>
  </si>
  <si>
    <t>Next dividend date</t>
  </si>
  <si>
    <t>Par value</t>
  </si>
  <si>
    <t>Days since last dividend</t>
  </si>
  <si>
    <t>Days between last dividend and next dividend</t>
  </si>
  <si>
    <t>Accrued dividend on call date</t>
  </si>
  <si>
    <t>Paid by company to shareholders at call</t>
  </si>
  <si>
    <t>Yield to first call</t>
  </si>
  <si>
    <t>Days till maturity</t>
  </si>
  <si>
    <t>Previous coupon date</t>
  </si>
  <si>
    <t>Bond cash flow</t>
  </si>
  <si>
    <t>YTM WITH SEMIANNUAL COUPON PAYMENTS</t>
  </si>
  <si>
    <t>Semiannual IRR</t>
  </si>
  <si>
    <t>Bond 
cash flow</t>
  </si>
  <si>
    <t>Annualizing the semiannual IRR</t>
  </si>
  <si>
    <t>IRR (semiannual interest)</t>
  </si>
  <si>
    <t>Semiannual coupon</t>
  </si>
  <si>
    <r>
      <t>XIRR</t>
    </r>
    <r>
      <rPr>
        <sz val="10"/>
        <rFont val="Arial"/>
        <family val="2"/>
      </rPr>
      <t xml:space="preserve"> (annualized IRR)</t>
    </r>
  </si>
  <si>
    <r>
      <t xml:space="preserve">Excel's </t>
    </r>
    <r>
      <rPr>
        <b/>
        <sz val="10"/>
        <rFont val="Arial"/>
        <family val="2"/>
      </rPr>
      <t>Yield</t>
    </r>
    <r>
      <rPr>
        <sz val="10"/>
        <rFont val="Arial"/>
        <family val="2"/>
      </rPr>
      <t xml:space="preserve"> function</t>
    </r>
  </si>
  <si>
    <r>
      <t xml:space="preserve">Excel's </t>
    </r>
    <r>
      <rPr>
        <b/>
        <sz val="10"/>
        <rFont val="Arial"/>
        <family val="2"/>
      </rPr>
      <t>Yield</t>
    </r>
    <r>
      <rPr>
        <sz val="10"/>
        <rFont val="Arial"/>
        <family val="2"/>
      </rPr>
      <t xml:space="preserve"> annualized</t>
    </r>
  </si>
  <si>
    <t>Zero-coupon bond A:  maturity in one year</t>
  </si>
  <si>
    <t>Payoff in three years</t>
  </si>
  <si>
    <t>Computing the Yield to Maturity</t>
  </si>
  <si>
    <t>Days</t>
  </si>
  <si>
    <t>Annual yield</t>
  </si>
  <si>
    <t>First date</t>
  </si>
  <si>
    <t>Last date</t>
  </si>
  <si>
    <t>Time to maturity (years)</t>
  </si>
  <si>
    <t>FRED Graph Observations</t>
  </si>
  <si>
    <t>Federal Reserve Economic Data</t>
  </si>
  <si>
    <t>Link: http://research.stlouisfed.org/fred2</t>
  </si>
  <si>
    <t>Help: http://research.stlouisfed.org/fred2/help-faq</t>
  </si>
  <si>
    <t>Economic Research Division</t>
  </si>
  <si>
    <t>Federal Reserve Bank of St. Louis</t>
  </si>
  <si>
    <t>FYGFDPUN</t>
  </si>
  <si>
    <t>Federal Debt Held by the Public, Millions of Dollars, Quarterly, Not Seasonally Adjusted</t>
  </si>
  <si>
    <t>GFDEBTN</t>
  </si>
  <si>
    <t>Federal Debt: Total Public Debt, Millions of Dollars, Quarterly, Not Seasonally Adjusted</t>
  </si>
  <si>
    <t>Frequency: Quarterly, End of Period</t>
  </si>
  <si>
    <t>observation_date</t>
  </si>
  <si>
    <t>UNITED STATES FEDERAL DEBT</t>
  </si>
  <si>
    <t>YIELD TO MATURITY OF XYZ BOND</t>
  </si>
  <si>
    <t>days</t>
  </si>
  <si>
    <t>Payment pattern of XYZ bond purchased on 15 May 2015 and held to maturity</t>
  </si>
  <si>
    <t>YIELD TO MATURITY
For uneven date spacing for XYZ bond</t>
  </si>
  <si>
    <t>Annualized IRR This is the YTM!</t>
  </si>
  <si>
    <t>ABC bond cash flow</t>
  </si>
  <si>
    <t>Last coupon ($70) + principal payment ($1,000)</t>
  </si>
  <si>
    <t>Sixth coupon ($70)</t>
  </si>
  <si>
    <t>Fifth coupon ($70)</t>
  </si>
  <si>
    <t>Fourth coupon ($70)</t>
  </si>
  <si>
    <t>Third coupon ($70)</t>
  </si>
  <si>
    <t>Second coupon ($70)</t>
  </si>
  <si>
    <t>First coupon ($70)</t>
  </si>
  <si>
    <t>XYZ bond is issued</t>
  </si>
  <si>
    <t>BASELINE</t>
  </si>
  <si>
    <t>POSITION</t>
  </si>
  <si>
    <t>MILESTONE</t>
  </si>
  <si>
    <t>DATE</t>
  </si>
  <si>
    <t>PROJECT DETAILS</t>
  </si>
  <si>
    <t xml:space="preserve"> COMPUTING THE ACCRUED INTEREST</t>
  </si>
  <si>
    <t>Bond purchase date 
(quote: $-1,050)</t>
  </si>
  <si>
    <t>15 Dec 2014
last 
coupon
date</t>
  </si>
  <si>
    <t xml:space="preserve">3 Apr 2015
bond purchase date  </t>
  </si>
  <si>
    <t>15 Dec 2015
next 
coupon 
date</t>
  </si>
  <si>
    <t xml:space="preserve">source: </t>
  </si>
  <si>
    <t>http://online.wsj.com/mdc/public/page/2_3020-treasury-20140815.html?mod=mdc_pastcalendar</t>
  </si>
  <si>
    <t>bid</t>
  </si>
  <si>
    <t>ask</t>
  </si>
  <si>
    <t>source:</t>
  </si>
  <si>
    <t>http://online.wsj.com/mdc/public/page/2_3020-treasury-20140929.html?mod=mdc_pastcalendar</t>
  </si>
  <si>
    <r>
      <t xml:space="preserve">UNITED STATES TREASURY BOND, 2.5% 
MATURING 15 AUGUST 2023
</t>
    </r>
    <r>
      <rPr>
        <b/>
        <sz val="12"/>
        <rFont val="Arial"/>
        <family val="2"/>
      </rPr>
      <t>Bought at issue date</t>
    </r>
  </si>
  <si>
    <t>A PARTIAL LIST OF CORPORATE BONDS</t>
  </si>
  <si>
    <t>Symbol</t>
  </si>
  <si>
    <t>CUSIP</t>
  </si>
  <si>
    <t>Security Description</t>
  </si>
  <si>
    <t>Stock</t>
  </si>
  <si>
    <t>Exchange</t>
  </si>
  <si>
    <t>IPO Date</t>
  </si>
  <si>
    <t>Cpn Rate</t>
  </si>
  <si>
    <t>Ann Amt</t>
  </si>
  <si>
    <t>LiqPref</t>
  </si>
  <si>
    <t>CallPrice</t>
  </si>
  <si>
    <t>Call Date</t>
  </si>
  <si>
    <t>Matur Date</t>
  </si>
  <si>
    <t>Moodys/S&amp;P</t>
  </si>
  <si>
    <t>Dated</t>
  </si>
  <si>
    <t>Conv</t>
  </si>
  <si>
    <t>IPO Prospectus</t>
  </si>
  <si>
    <t>Distribution Dates</t>
  </si>
  <si>
    <t>NYSE</t>
  </si>
  <si>
    <t>Chart</t>
  </si>
  <si>
    <t>$25.00</t>
  </si>
  <si>
    <t xml:space="preserve">$25.00 </t>
  </si>
  <si>
    <r>
      <t>Baa1</t>
    </r>
    <r>
      <rPr>
        <sz val="10"/>
        <rFont val="Arial"/>
        <family val="2"/>
      </rPr>
      <t xml:space="preserve"> / </t>
    </r>
    <r>
      <rPr>
        <b/>
        <sz val="10"/>
        <color rgb="FF008000"/>
        <rFont val="Arial"/>
        <family val="2"/>
      </rPr>
      <t>BBB</t>
    </r>
  </si>
  <si>
    <t>9/30/14</t>
  </si>
  <si>
    <t>  </t>
  </si>
  <si>
    <t xml:space="preserve">Prospectus </t>
  </si>
  <si>
    <t>Click for MW ExDiv Date</t>
  </si>
  <si>
    <t>Click for Yahoo ExDiv Date</t>
  </si>
  <si>
    <t xml:space="preserve">$1.3125 </t>
  </si>
  <si>
    <t>9/27/14</t>
  </si>
  <si>
    <t>1/15, 4/15, 7/15 &amp; 10/15</t>
  </si>
  <si>
    <t>3/15, 6/15, 9/15 &amp; 12/15</t>
  </si>
  <si>
    <t>ALL-B</t>
  </si>
  <si>
    <t>Allstate Corp. 5.10% Fixed-To-Floating Rate Sub Debentures due 1/15/2053</t>
  </si>
  <si>
    <t>Fixed/Adj</t>
  </si>
  <si>
    <t xml:space="preserve">$1.275 </t>
  </si>
  <si>
    <t>1/15/2023</t>
  </si>
  <si>
    <t xml:space="preserve">1/15/2053 </t>
  </si>
  <si>
    <t xml:space="preserve">$1.46875 </t>
  </si>
  <si>
    <t xml:space="preserve">$1.4375 </t>
  </si>
  <si>
    <t>10/15/2017</t>
  </si>
  <si>
    <t>1/1, 4/1, 7/1 &amp; 10/1</t>
  </si>
  <si>
    <t xml:space="preserve">$1.9375 </t>
  </si>
  <si>
    <t xml:space="preserve">$1.625 </t>
  </si>
  <si>
    <t>2/1, 5/1, 8/1 &amp; 11/1</t>
  </si>
  <si>
    <t>3/1, 6/1, 9/1 &amp; 12/1</t>
  </si>
  <si>
    <t>4/15/2015</t>
  </si>
  <si>
    <t>CCV</t>
  </si>
  <si>
    <t>20030N606</t>
  </si>
  <si>
    <t>Comcast Corp., 5.00% Notes due 12/15/2061</t>
  </si>
  <si>
    <t>11/29/12</t>
  </si>
  <si>
    <t xml:space="preserve">$1.25 </t>
  </si>
  <si>
    <t>12/15/2017</t>
  </si>
  <si>
    <t xml:space="preserve">12/15/2061 </t>
  </si>
  <si>
    <r>
      <t>A3</t>
    </r>
    <r>
      <rPr>
        <sz val="10"/>
        <rFont val="Arial"/>
        <family val="2"/>
      </rPr>
      <t xml:space="preserve"> / </t>
    </r>
    <r>
      <rPr>
        <b/>
        <sz val="10"/>
        <color rgb="FF008000"/>
        <rFont val="Arial"/>
        <family val="2"/>
      </rPr>
      <t>A-</t>
    </r>
  </si>
  <si>
    <t>DTQ</t>
  </si>
  <si>
    <t>DTE Energy Co., 2012 Series C 5.25% Junior Subordinated Debentures due 12/1/2062</t>
  </si>
  <si>
    <t>9/25/12</t>
  </si>
  <si>
    <r>
      <t>Baa1</t>
    </r>
    <r>
      <rPr>
        <sz val="10"/>
        <rFont val="Arial"/>
        <family val="2"/>
      </rPr>
      <t xml:space="preserve"> / </t>
    </r>
    <r>
      <rPr>
        <b/>
        <sz val="10"/>
        <color rgb="FF008000"/>
        <rFont val="Arial"/>
        <family val="2"/>
      </rPr>
      <t>BBB-</t>
    </r>
  </si>
  <si>
    <t>DTZ</t>
  </si>
  <si>
    <t>DTE Energy Co., 6.50% 2011 Series I Junior Subordinate Debentures due 12/1/2061</t>
  </si>
  <si>
    <t>11/29/11</t>
  </si>
  <si>
    <t>DUKH</t>
  </si>
  <si>
    <t>26441C303</t>
  </si>
  <si>
    <t>Duke Energy Corp., 5.125% Junior Subordinated Debentures due 1/15/2073</t>
  </si>
  <si>
    <t xml:space="preserve">$1.28125 </t>
  </si>
  <si>
    <t>1/15/2018</t>
  </si>
  <si>
    <t xml:space="preserve">1/15/2073 </t>
  </si>
  <si>
    <t>EAA</t>
  </si>
  <si>
    <t>29364D779</t>
  </si>
  <si>
    <t>Entergy Arkansas, 5.75% Series First Mortgage Bonds due 11/1/2040</t>
  </si>
  <si>
    <t>EAE</t>
  </si>
  <si>
    <t>29364D753</t>
  </si>
  <si>
    <t>Entergy Arkansas, First Mortgage Bonds, 4.75% Series due 6/1/2063</t>
  </si>
  <si>
    <t>5/30/13</t>
  </si>
  <si>
    <t xml:space="preserve">$1.1875 </t>
  </si>
  <si>
    <t>ELJ</t>
  </si>
  <si>
    <t>29364W504</t>
  </si>
  <si>
    <t>Entergy Louisiana LLC, 5.25% Series First Mortgage Bonds, due 7/1/2052</t>
  </si>
  <si>
    <t>6/28/12</t>
  </si>
  <si>
    <r>
      <t>A2</t>
    </r>
    <r>
      <rPr>
        <sz val="10"/>
        <rFont val="Arial"/>
        <family val="2"/>
      </rPr>
      <t xml:space="preserve"> / </t>
    </r>
    <r>
      <rPr>
        <b/>
        <sz val="10"/>
        <color rgb="FF008000"/>
        <rFont val="Arial"/>
        <family val="2"/>
      </rPr>
      <t>A-</t>
    </r>
  </si>
  <si>
    <t>ELA</t>
  </si>
  <si>
    <t>29364W405</t>
  </si>
  <si>
    <t>Entergy Louisiana LLC, 5.875% Series First Mortgage Bonds due 6/15/2041</t>
  </si>
  <si>
    <t>11/19/10</t>
  </si>
  <si>
    <t>11/23/2015</t>
  </si>
  <si>
    <t xml:space="preserve">6/15/2041 </t>
  </si>
  <si>
    <t>ELB</t>
  </si>
  <si>
    <t>29364W306</t>
  </si>
  <si>
    <t>Entergy Louisiana LLC, 6.00% Series First Mortgage Bonds due 3/15/2040</t>
  </si>
  <si>
    <t>3/16/10</t>
  </si>
  <si>
    <t xml:space="preserve">$1.5 </t>
  </si>
  <si>
    <t>3/15/2015</t>
  </si>
  <si>
    <t xml:space="preserve">3/15/2040 </t>
  </si>
  <si>
    <t>ELU</t>
  </si>
  <si>
    <t>29364W603</t>
  </si>
  <si>
    <t>Entergy Louisiana, 4.70% Series First Mortgage Bonds due 6/1/2063</t>
  </si>
  <si>
    <t>5/15/13</t>
  </si>
  <si>
    <t xml:space="preserve">$1.175 </t>
  </si>
  <si>
    <t>EMQ</t>
  </si>
  <si>
    <t>29364N876</t>
  </si>
  <si>
    <t>Entergy Mississippi, 6.00% Series First Mortgage Bonds due 11/1/2032</t>
  </si>
  <si>
    <t>10/18/02</t>
  </si>
  <si>
    <t xml:space="preserve">$1.50 </t>
  </si>
  <si>
    <t>EMZ</t>
  </si>
  <si>
    <t>29364N835</t>
  </si>
  <si>
    <t>Entergy Mississippi, 6.00% Series First Mortgage Bonds due 5/1/2051</t>
  </si>
  <si>
    <t>4/13/11</t>
  </si>
  <si>
    <t>EFM</t>
  </si>
  <si>
    <t>29364N843</t>
  </si>
  <si>
    <t>Entergy Mississippi, 6.20% Series First Mortgage Bonds due 4/15/2040</t>
  </si>
  <si>
    <t xml:space="preserve">$1.55 </t>
  </si>
  <si>
    <t xml:space="preserve">4/15/2040 </t>
  </si>
  <si>
    <t>GEK</t>
  </si>
  <si>
    <t>General Electric Capital Corp., 4.70% Notes due 5/16/2053</t>
  </si>
  <si>
    <t>5/16/2018</t>
  </si>
  <si>
    <t xml:space="preserve">5/16/2053 </t>
  </si>
  <si>
    <r>
      <t>A1</t>
    </r>
    <r>
      <rPr>
        <sz val="10"/>
        <rFont val="Arial"/>
        <family val="2"/>
      </rPr>
      <t xml:space="preserve"> / </t>
    </r>
    <r>
      <rPr>
        <b/>
        <sz val="10"/>
        <color rgb="FF008000"/>
        <rFont val="Arial"/>
        <family val="2"/>
      </rPr>
      <t>AA+</t>
    </r>
  </si>
  <si>
    <t>2/16, 5/16, 8/16 &amp; 11/16</t>
  </si>
  <si>
    <t>GEH</t>
  </si>
  <si>
    <t>General Electric Capital Corp., 4.875% Notes due 1/29/2053</t>
  </si>
  <si>
    <t>1/22/13</t>
  </si>
  <si>
    <t xml:space="preserve">$1.21875 </t>
  </si>
  <si>
    <t>1/29/2018</t>
  </si>
  <si>
    <t xml:space="preserve">1/29/2053 </t>
  </si>
  <si>
    <t>1/29, 4/29, 7/29 &amp;10/29</t>
  </si>
  <si>
    <t>GEB</t>
  </si>
  <si>
    <t>General Electric Capital Corp., 4.875% Notes due 10/15/2052</t>
  </si>
  <si>
    <t xml:space="preserve">10/15/2052 </t>
  </si>
  <si>
    <t>LYG-A</t>
  </si>
  <si>
    <t>Lloyds Banking Group plc, 7.75% PINES (Public Income NotES) due 7/15/2050</t>
  </si>
  <si>
    <t>7/15/2015</t>
  </si>
  <si>
    <t xml:space="preserve">7/15/2050 </t>
  </si>
  <si>
    <t xml:space="preserve">n.a. </t>
  </si>
  <si>
    <t>TVE</t>
  </si>
  <si>
    <t>Tennessee Valley Authority, Reset Rate Series A PARRS Power Bonds due 5/1/2029</t>
  </si>
  <si>
    <t>4/29/99</t>
  </si>
  <si>
    <t>Reset rate</t>
  </si>
  <si>
    <t>Unredeemable</t>
  </si>
  <si>
    <r>
      <t>Aaa</t>
    </r>
    <r>
      <rPr>
        <sz val="10"/>
        <rFont val="Arial"/>
        <family val="2"/>
      </rPr>
      <t xml:space="preserve"> / </t>
    </r>
    <r>
      <rPr>
        <b/>
        <sz val="10"/>
        <color rgb="FF008000"/>
        <rFont val="Arial"/>
        <family val="2"/>
      </rPr>
      <t>AA+</t>
    </r>
  </si>
  <si>
    <t>TVC</t>
  </si>
  <si>
    <t>Tennessee Valley Authority, Reset Rate Series D PARRS Power Bonds due 6/1/2028</t>
  </si>
  <si>
    <r>
      <t>Exchange-Traded Debt Securities</t>
    </r>
    <r>
      <rPr>
        <b/>
        <sz val="10"/>
        <rFont val="Arial"/>
        <family val="2"/>
      </rPr>
      <t>  </t>
    </r>
    <r>
      <rPr>
        <b/>
        <sz val="10"/>
        <color rgb="FFFFFFFF"/>
        <rFont val="Arial"/>
        <family val="2"/>
      </rPr>
      <t>sorted by Moodys Ratings</t>
    </r>
  </si>
  <si>
    <t>Symbol 
CUSIP</t>
  </si>
  <si>
    <t>Stock Exchkange</t>
  </si>
  <si>
    <t>Cpn Rate Ann amt</t>
  </si>
  <si>
    <t>CATERPILLAR INC. 3.803% BONDS 
ISSUER PERSPECTIVE
15 August 2012 (issue date)</t>
  </si>
  <si>
    <t>Cash flow to CAT</t>
  </si>
  <si>
    <t>CATERPILLAR INC. 3.803% BONDS 
BUYER PERSPECTIVE
10 October 2014</t>
  </si>
  <si>
    <t>Quarterly IRR</t>
  </si>
  <si>
    <r>
      <t xml:space="preserve">GENERAL ELECTRIC CO. PREFERRED STOCK
</t>
    </r>
    <r>
      <rPr>
        <b/>
        <sz val="12"/>
        <rFont val="Arial"/>
        <family val="2"/>
      </rPr>
      <t>annualized yield assuming no call</t>
    </r>
  </si>
  <si>
    <t>Semi-annual dividend</t>
  </si>
  <si>
    <t>Semi-annual yield</t>
  </si>
  <si>
    <t>next coupon date</t>
  </si>
  <si>
    <t>date</t>
  </si>
  <si>
    <t>Days from last coupon</t>
  </si>
  <si>
    <t>days between coupon dates</t>
  </si>
  <si>
    <t>Periodic dividend</t>
  </si>
  <si>
    <t>Accrued dividend</t>
  </si>
  <si>
    <t>total redemption</t>
  </si>
  <si>
    <t>Current market price</t>
  </si>
  <si>
    <t>Market price, 10 October 2014</t>
  </si>
  <si>
    <r>
      <t xml:space="preserve">GENERAL ELECTRIC 6.25% PREFERRED STOCK
</t>
    </r>
    <r>
      <rPr>
        <b/>
        <sz val="12"/>
        <rFont val="Arial"/>
        <family val="2"/>
      </rPr>
      <t>computing the yield to first call</t>
    </r>
  </si>
  <si>
    <t>.S. Treasury Strips</t>
  </si>
  <si>
    <t>Find Historical Data</t>
  </si>
  <si>
    <r>
      <t>|</t>
    </r>
    <r>
      <rPr>
        <b/>
        <sz val="6"/>
        <color rgb="FF666666"/>
        <rFont val="Arial"/>
        <family val="2"/>
      </rPr>
      <t xml:space="preserve"> WHAT'S THIS? </t>
    </r>
  </si>
  <si>
    <t xml:space="preserve">Tuesday, October 14, 2014 </t>
  </si>
  <si>
    <t>U.S. zero-coupon STRIPS allow investors to hold the interest and principal components of eligible Treasury notes and bonds as separate securities. STRIPS offer no interest payment; investors receive payment only at maturity. Quotes are as of 3 p.m. Eastern time based on transactions of $1 million or more. Yields calculated on the ask quote.</t>
  </si>
  <si>
    <t>Bid</t>
  </si>
  <si>
    <t>Asked</t>
  </si>
  <si>
    <t>Chg</t>
  </si>
  <si>
    <t>yield</t>
  </si>
  <si>
    <t>unch.</t>
  </si>
  <si>
    <t>Source: J.P.Morgan Pricing Direct Inc. via www.sstbond.com</t>
  </si>
  <si>
    <t>All evaluations are end of day and are not intended for trading purposes. Neither Street Software Technology, Inc. nor J.P.Morgan Pricing Direct Inc. shall be liable for any errors or delay in the content above, or for any action taken in reliance on any such content.</t>
  </si>
  <si>
    <t>http://online.wsj.com/mdc/public/page/2_3020-tstrips.html</t>
  </si>
  <si>
    <t>Row Labels</t>
  </si>
  <si>
    <t>(blank)</t>
  </si>
  <si>
    <t>Grand Total</t>
  </si>
  <si>
    <t>Average of Asked</t>
  </si>
  <si>
    <r>
      <t>Exchange-Traded Debt Securities</t>
    </r>
    <r>
      <rPr>
        <b/>
        <sz val="12"/>
        <rFont val="Arial"/>
        <family val="2"/>
      </rPr>
      <t>  </t>
    </r>
    <r>
      <rPr>
        <b/>
        <sz val="12"/>
        <color rgb="FFFFFFFF"/>
        <rFont val="Arial"/>
        <family val="2"/>
      </rPr>
      <t>sorted by Moodys Ratings</t>
    </r>
  </si>
  <si>
    <r>
      <t>Aaa</t>
    </r>
    <r>
      <rPr>
        <sz val="12"/>
        <rFont val="Arial"/>
        <family val="2"/>
      </rPr>
      <t xml:space="preserve"> / </t>
    </r>
    <r>
      <rPr>
        <b/>
        <sz val="12"/>
        <color rgb="FF008000"/>
        <rFont val="Arial"/>
        <family val="2"/>
      </rPr>
      <t>AA+</t>
    </r>
  </si>
  <si>
    <r>
      <t>A1</t>
    </r>
    <r>
      <rPr>
        <sz val="12"/>
        <rFont val="Arial"/>
        <family val="2"/>
      </rPr>
      <t xml:space="preserve"> / </t>
    </r>
    <r>
      <rPr>
        <b/>
        <sz val="12"/>
        <color rgb="FF008000"/>
        <rFont val="Arial"/>
        <family val="2"/>
      </rPr>
      <t>AA+</t>
    </r>
  </si>
  <si>
    <r>
      <t>A2</t>
    </r>
    <r>
      <rPr>
        <sz val="12"/>
        <rFont val="Arial"/>
        <family val="2"/>
      </rPr>
      <t xml:space="preserve"> / </t>
    </r>
    <r>
      <rPr>
        <b/>
        <sz val="12"/>
        <color rgb="FF008000"/>
        <rFont val="Arial"/>
        <family val="2"/>
      </rPr>
      <t>A-</t>
    </r>
  </si>
  <si>
    <r>
      <t>A3</t>
    </r>
    <r>
      <rPr>
        <sz val="12"/>
        <rFont val="Arial"/>
        <family val="2"/>
      </rPr>
      <t xml:space="preserve"> / </t>
    </r>
    <r>
      <rPr>
        <b/>
        <sz val="12"/>
        <color rgb="FF008000"/>
        <rFont val="Arial"/>
        <family val="2"/>
      </rPr>
      <t>A-</t>
    </r>
  </si>
  <si>
    <r>
      <t>Baa1</t>
    </r>
    <r>
      <rPr>
        <sz val="12"/>
        <rFont val="Arial"/>
        <family val="2"/>
      </rPr>
      <t xml:space="preserve"> / </t>
    </r>
    <r>
      <rPr>
        <b/>
        <sz val="12"/>
        <color rgb="FF008000"/>
        <rFont val="Arial"/>
        <family val="2"/>
      </rPr>
      <t>BBB-</t>
    </r>
  </si>
  <si>
    <r>
      <t>Baa1</t>
    </r>
    <r>
      <rPr>
        <sz val="12"/>
        <rFont val="Arial"/>
        <family val="2"/>
      </rPr>
      <t xml:space="preserve"> / </t>
    </r>
    <r>
      <rPr>
        <b/>
        <sz val="12"/>
        <color rgb="FF008000"/>
        <rFont val="Arial"/>
        <family val="2"/>
      </rPr>
      <t>BBB</t>
    </r>
  </si>
  <si>
    <t>Debt Held by the Public 
(millions $)</t>
  </si>
  <si>
    <t>Total Public Debt Outstanding 
(millions $)</t>
  </si>
  <si>
    <t>Intragovernmental Holdings 
(millions $)</t>
  </si>
  <si>
    <t>ANALYZING A 1-YEAR TREASURY INFLATION PROTECTED SECURITY (TIPS)</t>
  </si>
  <si>
    <t>Initial investment</t>
  </si>
  <si>
    <t>TIPS real interest rate</t>
  </si>
  <si>
    <t>Current CPI</t>
  </si>
  <si>
    <t>Anticipated CPI in one year</t>
  </si>
  <si>
    <t>TIPS repayment in one year</t>
  </si>
  <si>
    <t>Further analysis</t>
  </si>
  <si>
    <t xml:space="preserve">     Anticipated inflation rate</t>
  </si>
  <si>
    <t xml:space="preserve">     TIPS repayment of inflation-adjusted investment</t>
  </si>
  <si>
    <t xml:space="preserve">     TIPS interest on inflation-adjusted investment</t>
  </si>
  <si>
    <t xml:space="preserve">     Total TIPS repayment in one year</t>
  </si>
  <si>
    <r>
      <t xml:space="preserve">     TIPS interest on inflation-adjusted investment
     (this is the </t>
    </r>
    <r>
      <rPr>
        <i/>
        <sz val="10"/>
        <rFont val="Arial"/>
        <family val="2"/>
      </rPr>
      <t>real</t>
    </r>
    <r>
      <rPr>
        <sz val="10"/>
        <rFont val="Arial"/>
        <family val="2"/>
      </rPr>
      <t xml:space="preserve"> interest rate paid by the TIPS)</t>
    </r>
  </si>
  <si>
    <t>ANALYZING A 10-YEAR TREASURY INFLATION PROTECTED SECURITY (TIPS)</t>
  </si>
  <si>
    <t>Anticipated annual inflation rate</t>
  </si>
  <si>
    <t>TIPS repayment in 10 years</t>
  </si>
  <si>
    <t xml:space="preserve">     Anticipated cumulative inflation rate over 10 years</t>
  </si>
  <si>
    <t xml:space="preserve">     Total TIPS repayment in 10 years</t>
  </si>
  <si>
    <t xml:space="preserve">     Annualized TIPS interest on inflation-adjusted
     investment</t>
  </si>
  <si>
    <r>
      <t xml:space="preserve">     Anticipated </t>
    </r>
    <r>
      <rPr>
        <i/>
        <sz val="10"/>
        <rFont val="Arial"/>
        <family val="2"/>
      </rPr>
      <t>nominal</t>
    </r>
    <r>
      <rPr>
        <sz val="10"/>
        <rFont val="Arial"/>
        <family val="2"/>
      </rPr>
      <t xml:space="preserve"> return on TIPS</t>
    </r>
  </si>
  <si>
    <t xml:space="preserve">     Another way of computing the nominal return:
     (1+TIPS real rate)*(1+inflation rate)-1</t>
  </si>
  <si>
    <t>COMPARING A 5-YEAR TIPS
VERSUS A 5-YEAR BANK CERTIFICATE OF DEPOSIT (CD)</t>
  </si>
  <si>
    <t>Bank CD nominal interest rate</t>
  </si>
  <si>
    <t>TIPS repayment in 5 years</t>
  </si>
  <si>
    <t>Bank CD repayment in 5 years</t>
  </si>
  <si>
    <t>Anticipated annual
inflation rate</t>
  </si>
  <si>
    <t>CD payment
in 5 years</t>
  </si>
  <si>
    <t>TIPS payment in 5 years</t>
  </si>
  <si>
    <t>&lt;-- Breakeven inflation rate</t>
  </si>
  <si>
    <t>REAL RETURN ON TIPS VERSUS 5-YEAR CD</t>
  </si>
  <si>
    <t>TIPS year 5 repayment
in year 0 dollars</t>
  </si>
  <si>
    <t>CD year 5 repayment
in year 0 dollars</t>
  </si>
  <si>
    <t>TIPS annual real rate of return</t>
  </si>
  <si>
    <t>CD annual real rate of return</t>
  </si>
  <si>
    <t>CD real return</t>
  </si>
  <si>
    <t>TIPS real return</t>
  </si>
  <si>
    <t>NOMINAL AND REAL INTEREST RATES ON 21 AUGUST 2009</t>
  </si>
  <si>
    <t>Treasury interest</t>
  </si>
  <si>
    <t>1 mo</t>
  </si>
  <si>
    <t>3 mo</t>
  </si>
  <si>
    <t>6 mo</t>
  </si>
  <si>
    <t>1 yr</t>
  </si>
  <si>
    <t>2 yr</t>
  </si>
  <si>
    <t>3 yr</t>
  </si>
  <si>
    <t>5 yr</t>
  </si>
  <si>
    <t>7 yr</t>
  </si>
  <si>
    <t>10 yr</t>
  </si>
  <si>
    <t>30 yr</t>
  </si>
  <si>
    <t>Nominal interest</t>
  </si>
  <si>
    <t>TIPS data</t>
  </si>
  <si>
    <t>Real interest</t>
  </si>
  <si>
    <t>Implied inflation</t>
  </si>
  <si>
    <t>Note on formulas</t>
  </si>
  <si>
    <t>Data sources</t>
  </si>
  <si>
    <t>http://www.ustreas.gov/offices/domestic-finance/debt-management/interest-rate/real_yield.shtml</t>
  </si>
  <si>
    <t>http://www.ustreas.gov/offices/domestic-finance/debt-management/interest-rate/yield.shtml</t>
  </si>
  <si>
    <r>
      <t xml:space="preserve">UNITED STATES TREASURY BOND, 2.5%, MATURING 15 AUGUST 2023
</t>
    </r>
    <r>
      <rPr>
        <b/>
        <sz val="12"/>
        <rFont val="Arial"/>
        <family val="2"/>
      </rPr>
      <t>Bought on 29 September 2014</t>
    </r>
  </si>
  <si>
    <t>WHAT’S A DOLLAR WORTH?
How much would it cost in 2014 to buy $1 of goods?</t>
  </si>
  <si>
    <t>CPI</t>
  </si>
  <si>
    <t>Purchasing power of $1 in 2014 terms</t>
  </si>
  <si>
    <t>2.1%y/y</t>
  </si>
  <si>
    <t>3.7%y/y</t>
  </si>
  <si>
    <t>3.9%y/y</t>
  </si>
  <si>
    <t>3.1%y/y</t>
  </si>
  <si>
    <t>3.5%y/y</t>
  </si>
  <si>
    <t>3.0%y/y</t>
  </si>
  <si>
    <t>1.7%y/y</t>
  </si>
  <si>
    <t>1.0%y/y</t>
  </si>
  <si>
    <t>2.3%y/y</t>
  </si>
  <si>
    <t>4.4%y/y</t>
  </si>
  <si>
    <t>4.0%y/y</t>
  </si>
  <si>
    <t>2.5%y/y</t>
  </si>
  <si>
    <t>2.7%y/y</t>
  </si>
  <si>
    <t>5.0%y/y</t>
  </si>
  <si>
    <t>1.8%y/y</t>
  </si>
  <si>
    <t>4.5%y/y</t>
  </si>
  <si>
    <t>1.5%y/y</t>
  </si>
  <si>
    <t>4.7%y/y</t>
  </si>
  <si>
    <t>5.1%y/y</t>
  </si>
  <si>
    <t>2.8%y/y</t>
  </si>
  <si>
    <t>2.4%y/y</t>
  </si>
  <si>
    <t>3.3%y/y</t>
  </si>
  <si>
    <t>1.3%y/y</t>
  </si>
  <si>
    <t>7.4%y/y</t>
  </si>
  <si>
    <t>4.9%y/y</t>
  </si>
  <si>
    <t>6.6%y/y</t>
  </si>
  <si>
    <t>6.2%y/y</t>
  </si>
  <si>
    <t>6.3%y/y</t>
  </si>
  <si>
    <t>10.5%y/y</t>
  </si>
  <si>
    <t>12.4%y/y</t>
  </si>
  <si>
    <t>9.7%y/y</t>
  </si>
  <si>
    <t>7.3%y/y</t>
  </si>
  <si>
    <t>5.8%y/y</t>
  </si>
  <si>
    <t>9.2%y/y</t>
  </si>
  <si>
    <t>8.3%y/y</t>
  </si>
  <si>
    <t>1.2%y/y</t>
  </si>
  <si>
    <t>2.0%y/y</t>
  </si>
  <si>
    <t>Source:</t>
  </si>
  <si>
    <t>http://www.econstats.com/bls/blsnaa8.htm</t>
  </si>
  <si>
    <t>ANNUAL INFLATION RATE IN THE UNITED STATES, 1948-2014</t>
  </si>
  <si>
    <t>Annual inflation rate</t>
  </si>
  <si>
    <t>Average annual inflation</t>
  </si>
  <si>
    <t>Minimum inflation</t>
  </si>
  <si>
    <t>Maximum inflation</t>
  </si>
  <si>
    <t>ANNUAL INFLATION RATES AND CUMULATIVE INFLATION</t>
  </si>
  <si>
    <t>Comulative inflation over 10 years</t>
  </si>
  <si>
    <t>End-decade $ in terms of beginning of decade $</t>
  </si>
  <si>
    <t>REAL AND NOMINAL CASH FLOWS</t>
  </si>
  <si>
    <t>Year 0</t>
  </si>
  <si>
    <t>Year 1</t>
  </si>
  <si>
    <t>Nominal cash flow</t>
  </si>
  <si>
    <t>Consumer price index (CPI)</t>
  </si>
  <si>
    <t>Inflation</t>
  </si>
  <si>
    <t>Real cash flow in year 0 dollars</t>
  </si>
  <si>
    <t>Nominal return</t>
  </si>
  <si>
    <t>Real return</t>
  </si>
  <si>
    <t>HOW MUCH DID YOU REALLY EARN?</t>
  </si>
  <si>
    <t>Comulative inflation rate</t>
  </si>
  <si>
    <t>Real cash flow</t>
  </si>
  <si>
    <t>&lt;-- This is the cash flow in 2000 dollars</t>
  </si>
  <si>
    <t>Nominal IRR</t>
  </si>
  <si>
    <t>Real IRR</t>
  </si>
  <si>
    <t>Page</t>
  </si>
  <si>
    <t>Content</t>
  </si>
  <si>
    <t>CHAPTER 15 EXCEL SPREADSHEET INDEX</t>
  </si>
  <si>
    <t>Page 461</t>
  </si>
  <si>
    <t>Page 463</t>
  </si>
  <si>
    <t>Page 464</t>
  </si>
  <si>
    <t>Page 465 timeline</t>
  </si>
  <si>
    <t>Page 465</t>
  </si>
  <si>
    <t>Page 467</t>
  </si>
  <si>
    <t>Page 469</t>
  </si>
  <si>
    <t>Page 471</t>
  </si>
  <si>
    <t>Page 473</t>
  </si>
  <si>
    <t>Page 474</t>
  </si>
  <si>
    <t>Page 478</t>
  </si>
  <si>
    <t>Page 479</t>
  </si>
  <si>
    <t>Page 480</t>
  </si>
  <si>
    <t>Page 483</t>
  </si>
  <si>
    <t>Page 485</t>
  </si>
  <si>
    <t>Page 486</t>
  </si>
  <si>
    <t>Pages 487+488</t>
  </si>
  <si>
    <t>Page 489</t>
  </si>
  <si>
    <t>Page 490</t>
  </si>
  <si>
    <t>Page 491</t>
  </si>
  <si>
    <t>Page 492</t>
  </si>
  <si>
    <t>Page 494</t>
  </si>
  <si>
    <t>Page 495</t>
  </si>
  <si>
    <t>Page 496</t>
  </si>
  <si>
    <t>Page 497</t>
  </si>
  <si>
    <t>Page 498</t>
  </si>
  <si>
    <t>Page 499</t>
  </si>
  <si>
    <t>Page 500</t>
  </si>
  <si>
    <t>Page 468</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</si>
</sst>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3" formatCode="_(* #,##0.00_);_(* \(#,##0.00\);_(* &quot;-&quot;??_);_(@_)"/>
    <numFmt numFmtId="164" formatCode="[$-409]d\-mmm\-yy;@"/>
    <numFmt numFmtId="165" formatCode="0.000%"/>
    <numFmt numFmtId="166" formatCode="0.0000%"/>
    <numFmt numFmtId="167" formatCode="_(* #,##0.0000_);_(* \(#,##0.0000\);_(* &quot;-&quot;??_);_(@_)"/>
    <numFmt numFmtId="168" formatCode="_(* #,##0.0000000_);_(* \(#,##0.0000000\);_(* &quot;-&quot;??_);_(@_)"/>
    <numFmt numFmtId="169" formatCode="#,##0.0000"/>
    <numFmt numFmtId="170" formatCode="0.00000"/>
    <numFmt numFmtId="171" formatCode="yyyy\-mm\-dd"/>
    <numFmt numFmtId="172" formatCode="[$-409]dd\-mmm\-yy;@"/>
    <numFmt numFmtId="173" formatCode="#,##0.000"/>
    <numFmt numFmtId="174" formatCode="_-[$$-409]* #,##0.00_ ;_-[$$-409]* \-#,##0.00\ ;_-[$$-409]* &quot;-&quot;??_ ;_-@_ "/>
    <numFmt numFmtId="175" formatCode="0.0000"/>
    <numFmt numFmtId="176" formatCode="[$-F800]dddd\,\ mmmm\ dd\,\ yyyy"/>
  </numFmts>
  <fonts count="37" x14ac:knownFonts="1">
    <font>
      <sz val="10"/>
      <name val="Arial"/>
    </font>
    <font>
      <sz val="10"/>
      <color theme="1"/>
      <name val="arial"/>
      <family val="2"/>
    </font>
    <font>
      <sz val="10"/>
      <name val="Arial"/>
      <family val="2"/>
    </font>
    <font>
      <b/>
      <sz val="14"/>
      <name val="Arial"/>
      <family val="2"/>
    </font>
    <font>
      <sz val="10"/>
      <name val="Arial"/>
      <family val="2"/>
    </font>
    <font>
      <b/>
      <sz val="10"/>
      <name val="Arial"/>
      <family val="2"/>
    </font>
    <font>
      <sz val="8"/>
      <name val="Arial"/>
      <family val="2"/>
    </font>
    <font>
      <b/>
      <sz val="12"/>
      <name val="Arial"/>
      <family val="2"/>
    </font>
    <font>
      <b/>
      <i/>
      <sz val="10"/>
      <name val="Arial"/>
      <family val="2"/>
    </font>
    <font>
      <b/>
      <sz val="10"/>
      <color theme="1"/>
      <name val="arial"/>
      <family val="2"/>
    </font>
    <font>
      <b/>
      <sz val="14"/>
      <color theme="1"/>
      <name val="arial"/>
      <family val="2"/>
    </font>
    <font>
      <sz val="10"/>
      <color theme="1" tint="0.499984740745262"/>
      <name val="Calibri"/>
      <family val="2"/>
      <scheme val="minor"/>
    </font>
    <font>
      <b/>
      <sz val="11"/>
      <color theme="1"/>
      <name val="Calibri"/>
      <family val="2"/>
      <scheme val="minor"/>
    </font>
    <font>
      <b/>
      <sz val="11"/>
      <color theme="5"/>
      <name val="Calibri"/>
      <family val="2"/>
      <scheme val="minor"/>
    </font>
    <font>
      <b/>
      <sz val="20"/>
      <color theme="0"/>
      <name val="Calibri"/>
      <family val="2"/>
      <scheme val="minor"/>
    </font>
    <font>
      <sz val="10"/>
      <color theme="5"/>
      <name val="Cambria"/>
      <family val="2"/>
      <scheme val="major"/>
    </font>
    <font>
      <sz val="6"/>
      <color rgb="FF000000"/>
      <name val="Arial"/>
      <family val="2"/>
    </font>
    <font>
      <u/>
      <sz val="10"/>
      <color theme="10"/>
      <name val="Arial"/>
      <family val="2"/>
    </font>
    <font>
      <b/>
      <sz val="13.5"/>
      <color rgb="FFFFFFFF"/>
      <name val="Arial"/>
      <family val="2"/>
    </font>
    <font>
      <b/>
      <sz val="10"/>
      <color rgb="FFFFFFFF"/>
      <name val="Arial"/>
      <family val="2"/>
    </font>
    <font>
      <b/>
      <sz val="10"/>
      <color rgb="FF008000"/>
      <name val="Arial"/>
      <family val="2"/>
    </font>
    <font>
      <sz val="7.5"/>
      <name val="Arial"/>
      <family val="2"/>
    </font>
    <font>
      <sz val="11"/>
      <name val="Calibri"/>
      <family val="2"/>
    </font>
    <font>
      <b/>
      <sz val="8"/>
      <color rgb="FFCC6633"/>
      <name val="Arial"/>
      <family val="2"/>
    </font>
    <font>
      <b/>
      <sz val="6"/>
      <color rgb="FF666666"/>
      <name val="Arial"/>
      <family val="2"/>
    </font>
    <font>
      <sz val="5"/>
      <color rgb="FF666666"/>
      <name val="Arial"/>
      <family val="2"/>
    </font>
    <font>
      <b/>
      <sz val="6"/>
      <color rgb="FF000000"/>
      <name val="Arial"/>
      <family val="2"/>
    </font>
    <font>
      <b/>
      <sz val="7"/>
      <color rgb="FF000000"/>
      <name val="Arial"/>
      <family val="2"/>
    </font>
    <font>
      <sz val="6"/>
      <color rgb="FF009933"/>
      <name val="Arial"/>
      <family val="2"/>
    </font>
    <font>
      <sz val="6"/>
      <color rgb="FFFF0000"/>
      <name val="Arial"/>
      <family val="2"/>
    </font>
    <font>
      <sz val="10"/>
      <color rgb="FF000000"/>
      <name val="Arial"/>
      <family val="2"/>
    </font>
    <font>
      <sz val="12"/>
      <name val="Arial"/>
      <family val="2"/>
    </font>
    <font>
      <b/>
      <sz val="12"/>
      <color rgb="FFFFFFFF"/>
      <name val="Arial"/>
      <family val="2"/>
    </font>
    <font>
      <b/>
      <sz val="12"/>
      <color rgb="FF008000"/>
      <name val="Arial"/>
      <family val="2"/>
    </font>
    <font>
      <i/>
      <sz val="10"/>
      <name val="Arial"/>
      <family val="2"/>
    </font>
    <font>
      <sz val="8"/>
      <color rgb="FF000000"/>
      <name val="Courier New"/>
      <family val="3"/>
    </font>
    <font>
      <b/>
      <sz val="11"/>
      <name val="Arial"/>
      <family val="2"/>
    </font>
  </fonts>
  <fills count="10">
    <fill>
      <patternFill patternType="none"/>
    </fill>
    <fill>
      <patternFill patternType="gray125"/>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theme="3" tint="9.9948118533890809E-2"/>
        <bgColor indexed="64"/>
      </patternFill>
    </fill>
    <fill>
      <patternFill patternType="solid">
        <fgColor theme="3"/>
        <bgColor indexed="64"/>
      </patternFill>
    </fill>
    <fill>
      <patternFill patternType="solid">
        <fgColor rgb="FF008000"/>
        <bgColor indexed="64"/>
      </patternFill>
    </fill>
    <fill>
      <patternFill patternType="solid">
        <fgColor rgb="FFFFEFB5"/>
        <bgColor indexed="64"/>
      </patternFill>
    </fill>
    <fill>
      <patternFill patternType="solid">
        <fgColor theme="3" tint="0.59999389629810485"/>
        <bgColor indexed="64"/>
      </patternFill>
    </fill>
  </fills>
  <borders count="24">
    <border>
      <left/>
      <right/>
      <top/>
      <bottom/>
      <diagonal/>
    </border>
    <border>
      <left/>
      <right style="thick">
        <color theme="3"/>
      </right>
      <top style="thick">
        <color theme="3"/>
      </top>
      <bottom/>
      <diagonal/>
    </border>
    <border>
      <left/>
      <right/>
      <top style="thick">
        <color theme="3"/>
      </top>
      <bottom/>
      <diagonal/>
    </border>
    <border>
      <left style="thick">
        <color theme="3"/>
      </left>
      <right/>
      <top style="thick">
        <color theme="3"/>
      </top>
      <bottom/>
      <diagonal/>
    </border>
    <border>
      <left style="medium">
        <color rgb="FFB49D49"/>
      </left>
      <right style="medium">
        <color rgb="FFCCCCCC"/>
      </right>
      <top style="medium">
        <color rgb="FFCCCCCC"/>
      </top>
      <bottom style="medium">
        <color rgb="FFCCCCCC"/>
      </bottom>
      <diagonal/>
    </border>
    <border>
      <left style="medium">
        <color rgb="FFB49D49"/>
      </left>
      <right style="medium">
        <color rgb="FFB49D49"/>
      </right>
      <top style="medium">
        <color rgb="FFCCCCCC"/>
      </top>
      <bottom style="medium">
        <color rgb="FFCCCCCC"/>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bottom/>
      <diagonal/>
    </border>
    <border>
      <left/>
      <right/>
      <top/>
      <bottom style="thin">
        <color rgb="FF000000"/>
      </bottom>
      <diagonal/>
    </border>
    <border>
      <left style="medium">
        <color rgb="FFB49D49"/>
      </left>
      <right style="medium">
        <color rgb="FFB49D49"/>
      </right>
      <top style="medium">
        <color rgb="FFB49D49"/>
      </top>
      <bottom/>
      <diagonal/>
    </border>
    <border>
      <left style="medium">
        <color rgb="FFB49D49"/>
      </left>
      <right style="medium">
        <color rgb="FFB49D49"/>
      </right>
      <top style="medium">
        <color rgb="FFCCCCCC"/>
      </top>
      <bottom/>
      <diagonal/>
    </border>
    <border>
      <left style="medium">
        <color rgb="FFB49D49"/>
      </left>
      <right style="medium">
        <color rgb="FFCCCCCC"/>
      </right>
      <top style="medium">
        <color rgb="FFB49D49"/>
      </top>
      <bottom style="medium">
        <color rgb="FFCCCCCC"/>
      </bottom>
      <diagonal/>
    </border>
    <border>
      <left style="medium">
        <color rgb="FFB49D49"/>
      </left>
      <right style="medium">
        <color rgb="FFB49D49"/>
      </right>
      <top/>
      <bottom style="medium">
        <color rgb="FFCCCCCC"/>
      </bottom>
      <diagonal/>
    </border>
    <border>
      <left style="medium">
        <color rgb="FFB49D49"/>
      </left>
      <right style="medium">
        <color rgb="FFB49D49"/>
      </right>
      <top style="medium">
        <color rgb="FFB49D49"/>
      </top>
      <bottom style="medium">
        <color rgb="FFCCCCCC"/>
      </bottom>
      <diagonal/>
    </border>
    <border>
      <left style="medium">
        <color rgb="FFB49D49"/>
      </left>
      <right style="medium">
        <color rgb="FFB49D49"/>
      </right>
      <top/>
      <bottom style="medium">
        <color rgb="FFB49D49"/>
      </bottom>
      <diagonal/>
    </border>
    <border>
      <left style="medium">
        <color rgb="FFB49D49"/>
      </left>
      <right/>
      <top style="medium">
        <color rgb="FFB49D49"/>
      </top>
      <bottom style="medium">
        <color rgb="FFB49D49"/>
      </bottom>
      <diagonal/>
    </border>
    <border>
      <left/>
      <right/>
      <top style="medium">
        <color rgb="FFB49D49"/>
      </top>
      <bottom style="medium">
        <color rgb="FFB49D49"/>
      </bottom>
      <diagonal/>
    </border>
    <border>
      <left/>
      <right style="medium">
        <color rgb="FFB49D49"/>
      </right>
      <top style="medium">
        <color rgb="FFB49D49"/>
      </top>
      <bottom style="medium">
        <color rgb="FFB49D49"/>
      </bottom>
      <diagonal/>
    </border>
    <border>
      <left style="medium">
        <color rgb="FFB49D49"/>
      </left>
      <right style="medium">
        <color rgb="FFB49D49"/>
      </right>
      <top/>
      <bottom/>
      <diagonal/>
    </border>
  </borders>
  <cellStyleXfs count="12">
    <xf numFmtId="0" fontId="0" fillId="0" borderId="0"/>
    <xf numFmtId="43" fontId="2" fillId="0" borderId="0" applyFont="0" applyFill="0" applyBorder="0" applyAlignment="0" applyProtection="0"/>
    <xf numFmtId="9" fontId="2" fillId="0" borderId="0" applyFont="0" applyFill="0" applyBorder="0" applyAlignment="0" applyProtection="0"/>
    <xf numFmtId="0" fontId="1" fillId="0" borderId="0"/>
    <xf numFmtId="0" fontId="11" fillId="5" borderId="0">
      <alignment vertical="center"/>
    </xf>
    <xf numFmtId="0" fontId="13" fillId="6" borderId="0" applyNumberFormat="0" applyBorder="0" applyAlignment="0" applyProtection="0"/>
    <xf numFmtId="0" fontId="14" fillId="6" borderId="0" applyNumberFormat="0" applyBorder="0" applyAlignment="0" applyProtection="0"/>
    <xf numFmtId="0" fontId="15" fillId="6" borderId="0" applyNumberFormat="0" applyBorder="0" applyAlignment="0" applyProtection="0"/>
    <xf numFmtId="0" fontId="17" fillId="0" borderId="0" applyNumberFormat="0" applyFill="0" applyBorder="0" applyAlignment="0" applyProtection="0"/>
    <xf numFmtId="0" fontId="2" fillId="0" borderId="0"/>
    <xf numFmtId="43" fontId="2" fillId="0" borderId="0" applyFont="0" applyFill="0" applyBorder="0" applyAlignment="0" applyProtection="0"/>
    <xf numFmtId="4" fontId="2" fillId="0" borderId="0" applyFont="0" applyFill="0" applyBorder="0" applyAlignment="0" applyProtection="0"/>
  </cellStyleXfs>
  <cellXfs count="276">
    <xf numFmtId="0" fontId="0" fillId="0" borderId="0" xfId="0"/>
    <xf numFmtId="164" fontId="0" fillId="0" borderId="0" xfId="0" applyNumberFormat="1"/>
    <xf numFmtId="15" fontId="0" fillId="0" borderId="0" xfId="0" applyNumberFormat="1"/>
    <xf numFmtId="0" fontId="5" fillId="0" borderId="0" xfId="0" applyFont="1" applyAlignment="1">
      <alignment horizontal="center"/>
    </xf>
    <xf numFmtId="0" fontId="5" fillId="0" borderId="0" xfId="0" applyFont="1" applyAlignment="1">
      <alignment horizontal="center" wrapText="1"/>
    </xf>
    <xf numFmtId="164" fontId="0" fillId="0" borderId="0" xfId="0" applyNumberFormat="1" applyAlignment="1">
      <alignment horizontal="center"/>
    </xf>
    <xf numFmtId="165" fontId="0" fillId="0" borderId="0" xfId="2" applyNumberFormat="1" applyFont="1"/>
    <xf numFmtId="43" fontId="0" fillId="0" borderId="0" xfId="1" applyFont="1"/>
    <xf numFmtId="0" fontId="5" fillId="0" borderId="0" xfId="0" applyFont="1"/>
    <xf numFmtId="3" fontId="0" fillId="0" borderId="0" xfId="0" applyNumberFormat="1"/>
    <xf numFmtId="10" fontId="0" fillId="0" borderId="0" xfId="2" applyNumberFormat="1" applyFont="1"/>
    <xf numFmtId="10" fontId="0" fillId="0" borderId="0" xfId="0" applyNumberFormat="1"/>
    <xf numFmtId="4" fontId="0" fillId="0" borderId="0" xfId="0" applyNumberFormat="1"/>
    <xf numFmtId="0" fontId="0" fillId="0" borderId="0" xfId="0" applyAlignment="1">
      <alignment wrapText="1"/>
    </xf>
    <xf numFmtId="0" fontId="0" fillId="0" borderId="0" xfId="0" applyAlignment="1">
      <alignment horizontal="center" wrapText="1"/>
    </xf>
    <xf numFmtId="0" fontId="4" fillId="0" borderId="0" xfId="0" applyFont="1" applyAlignment="1">
      <alignment horizontal="center"/>
    </xf>
    <xf numFmtId="4" fontId="0" fillId="0" borderId="0" xfId="1" applyNumberFormat="1" applyFont="1"/>
    <xf numFmtId="43" fontId="0" fillId="0" borderId="0" xfId="1" applyNumberFormat="1" applyFont="1"/>
    <xf numFmtId="2" fontId="0" fillId="0" borderId="0" xfId="0" applyNumberFormat="1"/>
    <xf numFmtId="14" fontId="0" fillId="0" borderId="0" xfId="0" applyNumberFormat="1" applyAlignment="1">
      <alignment horizontal="center"/>
    </xf>
    <xf numFmtId="10" fontId="2" fillId="0" borderId="0" xfId="2" applyNumberFormat="1"/>
    <xf numFmtId="10" fontId="0" fillId="2" borderId="0" xfId="0" applyNumberFormat="1" applyFill="1"/>
    <xf numFmtId="4" fontId="0" fillId="2" borderId="0" xfId="0" applyNumberFormat="1" applyFill="1"/>
    <xf numFmtId="9" fontId="0" fillId="0" borderId="0" xfId="0" applyNumberFormat="1"/>
    <xf numFmtId="10" fontId="0" fillId="2" borderId="0" xfId="2" applyNumberFormat="1" applyFont="1" applyFill="1"/>
    <xf numFmtId="166" fontId="0" fillId="0" borderId="0" xfId="0" applyNumberFormat="1"/>
    <xf numFmtId="166" fontId="0" fillId="2" borderId="0" xfId="0" applyNumberFormat="1" applyFill="1"/>
    <xf numFmtId="0" fontId="0" fillId="2" borderId="0" xfId="0" applyFill="1"/>
    <xf numFmtId="0" fontId="0" fillId="0" borderId="0" xfId="0" applyAlignment="1">
      <alignment horizontal="center"/>
    </xf>
    <xf numFmtId="10" fontId="2" fillId="2" borderId="0" xfId="2" applyNumberFormat="1" applyFill="1"/>
    <xf numFmtId="43" fontId="0" fillId="0" borderId="0" xfId="0" applyNumberFormat="1"/>
    <xf numFmtId="3" fontId="0" fillId="0" borderId="0" xfId="0" applyNumberFormat="1" applyAlignment="1">
      <alignment wrapText="1"/>
    </xf>
    <xf numFmtId="0" fontId="0" fillId="2" borderId="0" xfId="0" applyNumberFormat="1" applyFill="1"/>
    <xf numFmtId="2" fontId="0" fillId="2" borderId="0" xfId="0" applyNumberFormat="1" applyFill="1"/>
    <xf numFmtId="0" fontId="3" fillId="0" borderId="0" xfId="0" applyFont="1" applyAlignment="1">
      <alignment wrapText="1"/>
    </xf>
    <xf numFmtId="165" fontId="0" fillId="2" borderId="0" xfId="2" applyNumberFormat="1" applyFont="1" applyFill="1"/>
    <xf numFmtId="168" fontId="0" fillId="0" borderId="0" xfId="0" applyNumberFormat="1"/>
    <xf numFmtId="169" fontId="0" fillId="0" borderId="0" xfId="1" applyNumberFormat="1" applyFont="1"/>
    <xf numFmtId="164" fontId="0" fillId="2" borderId="0" xfId="0" applyNumberFormat="1" applyFill="1" applyAlignment="1">
      <alignment horizontal="left"/>
    </xf>
    <xf numFmtId="165" fontId="0" fillId="0" borderId="0" xfId="0" applyNumberFormat="1"/>
    <xf numFmtId="0" fontId="0" fillId="0" borderId="0" xfId="0" applyNumberFormat="1"/>
    <xf numFmtId="165" fontId="2" fillId="0" borderId="0" xfId="2" applyNumberFormat="1"/>
    <xf numFmtId="0" fontId="2" fillId="0" borderId="0" xfId="1" applyNumberFormat="1"/>
    <xf numFmtId="167" fontId="0" fillId="0" borderId="0" xfId="0" applyNumberFormat="1"/>
    <xf numFmtId="0" fontId="4" fillId="2" borderId="0" xfId="0" applyFont="1" applyFill="1" applyAlignment="1">
      <alignment horizontal="center"/>
    </xf>
    <xf numFmtId="0" fontId="4" fillId="0" borderId="0" xfId="0" applyFont="1"/>
    <xf numFmtId="0" fontId="4" fillId="0" borderId="0" xfId="0" applyFont="1" applyAlignment="1">
      <alignment horizontal="left"/>
    </xf>
    <xf numFmtId="4" fontId="4" fillId="0" borderId="0" xfId="0" applyNumberFormat="1" applyFont="1" applyAlignment="1">
      <alignment horizontal="right"/>
    </xf>
    <xf numFmtId="0" fontId="5" fillId="2" borderId="0" xfId="0" applyFont="1" applyFill="1"/>
    <xf numFmtId="0" fontId="5" fillId="0" borderId="0" xfId="0" applyFont="1" applyFill="1"/>
    <xf numFmtId="43" fontId="2" fillId="0" borderId="0" xfId="1" applyNumberFormat="1"/>
    <xf numFmtId="43" fontId="2" fillId="0" borderId="0" xfId="1"/>
    <xf numFmtId="169" fontId="2" fillId="0" borderId="0" xfId="1" applyNumberFormat="1"/>
    <xf numFmtId="4" fontId="2" fillId="0" borderId="0" xfId="1" applyNumberFormat="1"/>
    <xf numFmtId="0" fontId="5" fillId="0" borderId="0" xfId="0" applyFont="1" applyAlignment="1">
      <alignment horizontal="center" vertical="center" wrapText="1"/>
    </xf>
    <xf numFmtId="0" fontId="4" fillId="3" borderId="0" xfId="0" applyFont="1" applyFill="1"/>
    <xf numFmtId="40" fontId="0" fillId="3" borderId="0" xfId="0" applyNumberFormat="1" applyFill="1"/>
    <xf numFmtId="4" fontId="0" fillId="3" borderId="0" xfId="0" applyNumberFormat="1" applyFill="1"/>
    <xf numFmtId="10" fontId="0" fillId="0" borderId="0" xfId="0" applyNumberFormat="1" applyAlignment="1">
      <alignment horizontal="right" indent="2"/>
    </xf>
    <xf numFmtId="10" fontId="0" fillId="2" borderId="0" xfId="0" applyNumberFormat="1" applyFill="1" applyAlignment="1">
      <alignment horizontal="right" indent="2"/>
    </xf>
    <xf numFmtId="10" fontId="0" fillId="3" borderId="0" xfId="0" applyNumberFormat="1" applyFill="1"/>
    <xf numFmtId="0" fontId="0" fillId="3" borderId="0" xfId="0" applyFill="1"/>
    <xf numFmtId="0" fontId="5" fillId="0" borderId="0" xfId="0" applyFont="1" applyAlignment="1">
      <alignment horizontal="center" vertical="center"/>
    </xf>
    <xf numFmtId="0" fontId="0" fillId="0" borderId="0" xfId="0" applyAlignment="1">
      <alignment horizontal="center" vertical="center"/>
    </xf>
    <xf numFmtId="10" fontId="0" fillId="3" borderId="0" xfId="2" applyNumberFormat="1" applyFont="1" applyFill="1"/>
    <xf numFmtId="15" fontId="4" fillId="0" borderId="0" xfId="0" applyNumberFormat="1" applyFont="1" applyAlignment="1">
      <alignment horizontal="center" wrapText="1"/>
    </xf>
    <xf numFmtId="166" fontId="0" fillId="2" borderId="0" xfId="2" applyNumberFormat="1" applyFont="1" applyFill="1"/>
    <xf numFmtId="0" fontId="0" fillId="3" borderId="0" xfId="0" applyFill="1" applyAlignment="1">
      <alignment horizontal="left" wrapText="1"/>
    </xf>
    <xf numFmtId="0" fontId="9" fillId="0" borderId="0" xfId="0" applyFont="1" applyAlignment="1">
      <alignment horizontal="center" vertical="center" wrapText="1"/>
    </xf>
    <xf numFmtId="164" fontId="9" fillId="0" borderId="0" xfId="0" applyNumberFormat="1" applyFont="1" applyAlignment="1">
      <alignment horizontal="center" vertical="center" wrapText="1"/>
    </xf>
    <xf numFmtId="164" fontId="0" fillId="0" borderId="0" xfId="0" applyNumberFormat="1" applyAlignment="1">
      <alignment horizontal="center" wrapText="1"/>
    </xf>
    <xf numFmtId="3" fontId="0" fillId="0" borderId="0" xfId="0" applyNumberFormat="1" applyAlignment="1">
      <alignment horizontal="right" wrapText="1"/>
    </xf>
    <xf numFmtId="0" fontId="1" fillId="0" borderId="0" xfId="3"/>
    <xf numFmtId="2" fontId="1" fillId="0" borderId="0" xfId="3" applyNumberFormat="1" applyAlignment="1">
      <alignment horizontal="center"/>
    </xf>
    <xf numFmtId="2" fontId="9" fillId="0" borderId="0" xfId="3" applyNumberFormat="1" applyFont="1" applyAlignment="1">
      <alignment horizontal="center" vertical="center" wrapText="1"/>
    </xf>
    <xf numFmtId="0" fontId="1" fillId="0" borderId="0" xfId="3" applyNumberFormat="1"/>
    <xf numFmtId="164" fontId="1" fillId="0" borderId="0" xfId="3" applyNumberFormat="1" applyAlignment="1">
      <alignment horizontal="center"/>
    </xf>
    <xf numFmtId="0" fontId="9" fillId="0" borderId="0" xfId="3" applyFont="1" applyAlignment="1">
      <alignment horizontal="center" vertical="center" wrapText="1"/>
    </xf>
    <xf numFmtId="166" fontId="1" fillId="0" borderId="0" xfId="2" applyNumberFormat="1" applyFont="1"/>
    <xf numFmtId="0" fontId="2" fillId="0" borderId="0" xfId="0" applyFont="1"/>
    <xf numFmtId="170" fontId="0" fillId="0" borderId="0" xfId="0" applyNumberFormat="1"/>
    <xf numFmtId="43" fontId="0" fillId="3" borderId="0" xfId="1" applyFont="1" applyFill="1"/>
    <xf numFmtId="0" fontId="1" fillId="3" borderId="0" xfId="3" applyFill="1"/>
    <xf numFmtId="166" fontId="1" fillId="3" borderId="0" xfId="2" applyNumberFormat="1" applyFont="1" applyFill="1"/>
    <xf numFmtId="0" fontId="0" fillId="0" borderId="0" xfId="0"/>
    <xf numFmtId="171" fontId="0" fillId="0" borderId="0" xfId="0" applyNumberFormat="1" applyFont="1" applyFill="1" applyBorder="1" applyAlignment="1" applyProtection="1"/>
    <xf numFmtId="1" fontId="0" fillId="0" borderId="0" xfId="0" applyNumberFormat="1" applyFont="1" applyFill="1" applyBorder="1" applyAlignment="1" applyProtection="1"/>
    <xf numFmtId="172" fontId="0" fillId="4" borderId="0" xfId="0" applyNumberFormat="1" applyFill="1" applyAlignment="1">
      <alignment horizontal="center"/>
    </xf>
    <xf numFmtId="0" fontId="0" fillId="4" borderId="0" xfId="0" applyFill="1" applyAlignment="1">
      <alignment horizontal="center"/>
    </xf>
    <xf numFmtId="0" fontId="0" fillId="4" borderId="0" xfId="0" applyFill="1"/>
    <xf numFmtId="3" fontId="0" fillId="4" borderId="0" xfId="0" applyNumberFormat="1" applyFill="1" applyAlignment="1">
      <alignment horizontal="center"/>
    </xf>
    <xf numFmtId="172" fontId="0" fillId="0" borderId="0" xfId="0" applyNumberFormat="1" applyAlignment="1">
      <alignment horizontal="center"/>
    </xf>
    <xf numFmtId="0" fontId="11" fillId="0" borderId="0" xfId="4" applyFill="1">
      <alignment vertical="center"/>
    </xf>
    <xf numFmtId="0" fontId="14" fillId="0" borderId="0" xfId="6" applyFill="1" applyAlignment="1">
      <alignment vertical="center"/>
    </xf>
    <xf numFmtId="14" fontId="11" fillId="0" borderId="0" xfId="4" applyNumberFormat="1" applyFill="1">
      <alignment vertical="center"/>
    </xf>
    <xf numFmtId="0" fontId="11" fillId="0" borderId="0" xfId="4" applyFill="1" applyAlignment="1">
      <alignment horizontal="center"/>
    </xf>
    <xf numFmtId="0" fontId="11" fillId="0" borderId="0" xfId="4" applyFill="1" applyAlignment="1">
      <alignment horizontal="left"/>
    </xf>
    <xf numFmtId="0" fontId="13" fillId="0" borderId="3" xfId="5" applyFill="1" applyBorder="1" applyAlignment="1">
      <alignment horizontal="left" vertical="center" indent="1"/>
    </xf>
    <xf numFmtId="0" fontId="11" fillId="0" borderId="2" xfId="4" applyFill="1" applyBorder="1">
      <alignment vertical="center"/>
    </xf>
    <xf numFmtId="0" fontId="11" fillId="0" borderId="1" xfId="4" applyFill="1" applyBorder="1">
      <alignment vertical="center"/>
    </xf>
    <xf numFmtId="0" fontId="11" fillId="0" borderId="0" xfId="4" applyFill="1" applyAlignment="1">
      <alignment horizontal="left" vertical="center" indent="2"/>
    </xf>
    <xf numFmtId="0" fontId="11" fillId="0" borderId="0" xfId="4" applyFill="1" applyAlignment="1">
      <alignment horizontal="center" vertical="center"/>
    </xf>
    <xf numFmtId="14" fontId="11" fillId="0" borderId="0" xfId="4" applyNumberFormat="1" applyFill="1" applyAlignment="1">
      <alignment horizontal="left" vertical="center" indent="2"/>
    </xf>
    <xf numFmtId="0" fontId="11" fillId="0" borderId="0" xfId="4" applyNumberFormat="1" applyFill="1">
      <alignment vertical="center"/>
    </xf>
    <xf numFmtId="0" fontId="12" fillId="0" borderId="0" xfId="4" applyFont="1" applyFill="1">
      <alignment vertical="center"/>
    </xf>
    <xf numFmtId="0" fontId="11" fillId="0" borderId="0" xfId="4" applyNumberFormat="1" applyFill="1" applyAlignment="1">
      <alignment horizontal="center" vertical="center"/>
    </xf>
    <xf numFmtId="0" fontId="11" fillId="0" borderId="0" xfId="4" applyFill="1" applyAlignment="1">
      <alignment horizontal="left" vertical="center" wrapText="1" indent="2"/>
    </xf>
    <xf numFmtId="172" fontId="0" fillId="0" borderId="0" xfId="0" applyNumberFormat="1"/>
    <xf numFmtId="0" fontId="16" fillId="0" borderId="4" xfId="0" applyFont="1" applyBorder="1" applyAlignment="1">
      <alignment horizontal="right" vertical="center" wrapText="1"/>
    </xf>
    <xf numFmtId="0" fontId="16" fillId="0" borderId="5" xfId="0" applyFont="1" applyBorder="1" applyAlignment="1">
      <alignment horizontal="right" vertical="center" wrapText="1"/>
    </xf>
    <xf numFmtId="0" fontId="17" fillId="0" borderId="0" xfId="8"/>
    <xf numFmtId="0" fontId="17" fillId="8" borderId="9" xfId="8" applyFill="1" applyBorder="1" applyAlignment="1">
      <alignment horizontal="center" vertical="center" wrapText="1"/>
    </xf>
    <xf numFmtId="0" fontId="5" fillId="8" borderId="10" xfId="0" applyFont="1" applyFill="1" applyBorder="1" applyAlignment="1">
      <alignment horizontal="center" vertical="center" wrapText="1"/>
    </xf>
    <xf numFmtId="0" fontId="17" fillId="8" borderId="10" xfId="8" applyFill="1" applyBorder="1" applyAlignment="1">
      <alignment horizontal="center" vertical="center" wrapText="1"/>
    </xf>
    <xf numFmtId="0" fontId="17" fillId="0" borderId="9" xfId="8"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17" fillId="0" borderId="11" xfId="8" applyBorder="1" applyAlignment="1">
      <alignment horizontal="center" vertical="center" wrapText="1"/>
    </xf>
    <xf numFmtId="0" fontId="2" fillId="0" borderId="9" xfId="0" applyFont="1" applyBorder="1" applyAlignment="1">
      <alignment horizontal="center" vertical="center" wrapText="1"/>
    </xf>
    <xf numFmtId="10" fontId="2" fillId="0" borderId="9" xfId="0" applyNumberFormat="1" applyFont="1" applyBorder="1" applyAlignment="1">
      <alignment horizontal="center" vertical="center" wrapText="1"/>
    </xf>
    <xf numFmtId="0" fontId="20" fillId="0" borderId="9" xfId="0" applyFont="1" applyBorder="1" applyAlignment="1">
      <alignment horizontal="center" vertical="center" wrapText="1"/>
    </xf>
    <xf numFmtId="0" fontId="21" fillId="0" borderId="9" xfId="0" applyFont="1" applyBorder="1" applyAlignment="1">
      <alignment horizontal="center" vertical="center" wrapText="1"/>
    </xf>
    <xf numFmtId="0" fontId="17" fillId="0" borderId="10" xfId="8" applyBorder="1" applyAlignment="1">
      <alignment horizontal="center" vertical="center" wrapText="1"/>
    </xf>
    <xf numFmtId="14" fontId="2" fillId="0" borderId="9" xfId="0" applyNumberFormat="1" applyFont="1" applyBorder="1" applyAlignment="1">
      <alignment horizontal="center" vertical="center" wrapText="1"/>
    </xf>
    <xf numFmtId="14" fontId="2" fillId="0" borderId="11" xfId="0" applyNumberFormat="1" applyFont="1" applyBorder="1" applyAlignment="1">
      <alignment horizontal="center" vertical="center" wrapText="1"/>
    </xf>
    <xf numFmtId="0" fontId="0" fillId="0" borderId="12" xfId="0" applyNumberFormat="1" applyBorder="1"/>
    <xf numFmtId="0" fontId="17" fillId="8" borderId="9" xfId="8" applyFont="1" applyFill="1" applyBorder="1" applyAlignment="1">
      <alignment horizontal="center" vertical="center" wrapText="1"/>
    </xf>
    <xf numFmtId="0" fontId="17" fillId="8" borderId="10" xfId="8" applyFont="1" applyFill="1" applyBorder="1" applyAlignment="1">
      <alignment horizontal="center" vertical="center" wrapText="1"/>
    </xf>
    <xf numFmtId="0" fontId="17" fillId="0" borderId="9" xfId="8" applyFont="1" applyBorder="1" applyAlignment="1">
      <alignment horizontal="center" vertical="center" wrapText="1"/>
    </xf>
    <xf numFmtId="0" fontId="17" fillId="0" borderId="11" xfId="8" applyFont="1" applyBorder="1" applyAlignment="1">
      <alignment horizontal="center" vertical="center" wrapText="1"/>
    </xf>
    <xf numFmtId="0" fontId="17" fillId="0" borderId="10" xfId="8" applyFont="1" applyBorder="1" applyAlignment="1">
      <alignment horizontal="center" vertical="center" wrapText="1"/>
    </xf>
    <xf numFmtId="10" fontId="2" fillId="0" borderId="0" xfId="1" applyNumberFormat="1"/>
    <xf numFmtId="173" fontId="2" fillId="0" borderId="0" xfId="1" applyNumberFormat="1"/>
    <xf numFmtId="174" fontId="0" fillId="0" borderId="0" xfId="0" applyNumberFormat="1"/>
    <xf numFmtId="4" fontId="22" fillId="0" borderId="0" xfId="0" applyNumberFormat="1" applyFont="1"/>
    <xf numFmtId="14" fontId="0" fillId="0" borderId="0" xfId="0" applyNumberFormat="1"/>
    <xf numFmtId="0" fontId="23" fillId="0" borderId="14" xfId="0" applyFont="1" applyBorder="1" applyAlignment="1">
      <alignment vertical="center"/>
    </xf>
    <xf numFmtId="0" fontId="17" fillId="0" borderId="0" xfId="8" applyAlignment="1">
      <alignment vertical="center"/>
    </xf>
    <xf numFmtId="0" fontId="25" fillId="0" borderId="0" xfId="0" applyFont="1" applyAlignment="1">
      <alignment vertical="center"/>
    </xf>
    <xf numFmtId="0" fontId="24" fillId="0" borderId="14" xfId="0" applyFont="1" applyBorder="1" applyAlignment="1">
      <alignment vertical="center"/>
    </xf>
    <xf numFmtId="0" fontId="16" fillId="0" borderId="15" xfId="0" applyFont="1" applyBorder="1" applyAlignment="1">
      <alignment vertical="center"/>
    </xf>
    <xf numFmtId="0" fontId="26" fillId="0" borderId="15" xfId="0" applyFont="1" applyBorder="1" applyAlignment="1">
      <alignment horizontal="center" wrapText="1"/>
    </xf>
    <xf numFmtId="0" fontId="26" fillId="0" borderId="17" xfId="0" applyFont="1" applyBorder="1" applyAlignment="1">
      <alignment horizontal="center" wrapText="1"/>
    </xf>
    <xf numFmtId="0" fontId="17" fillId="0" borderId="23" xfId="8" applyBorder="1" applyAlignment="1">
      <alignment vertical="center"/>
    </xf>
    <xf numFmtId="0" fontId="16" fillId="0" borderId="19" xfId="0" applyFont="1" applyBorder="1" applyAlignment="1">
      <alignment horizontal="justify" vertical="center"/>
    </xf>
    <xf numFmtId="0" fontId="30" fillId="0" borderId="0" xfId="0" applyFont="1" applyAlignment="1">
      <alignment vertical="center" wrapText="1"/>
    </xf>
    <xf numFmtId="0" fontId="16" fillId="0" borderId="16" xfId="0" applyFont="1" applyBorder="1" applyAlignment="1">
      <alignment horizontal="right" vertical="center"/>
    </xf>
    <xf numFmtId="0" fontId="16" fillId="0" borderId="18" xfId="0" applyFont="1" applyBorder="1" applyAlignment="1">
      <alignment horizontal="right" vertical="center"/>
    </xf>
    <xf numFmtId="0" fontId="28" fillId="0" borderId="16" xfId="0" applyFont="1" applyBorder="1" applyAlignment="1">
      <alignment horizontal="right" vertical="center"/>
    </xf>
    <xf numFmtId="0" fontId="29" fillId="0" borderId="16" xfId="0" applyFont="1" applyBorder="1" applyAlignment="1">
      <alignment horizontal="right" vertical="center"/>
    </xf>
    <xf numFmtId="0" fontId="0" fillId="0" borderId="0" xfId="0" applyAlignment="1"/>
    <xf numFmtId="14" fontId="16" fillId="0" borderId="16" xfId="0" applyNumberFormat="1" applyFont="1" applyBorder="1" applyAlignment="1">
      <alignment horizontal="left" vertical="center"/>
    </xf>
    <xf numFmtId="14" fontId="16" fillId="0" borderId="20" xfId="0" applyNumberFormat="1" applyFont="1" applyBorder="1" applyAlignment="1">
      <alignment horizontal="left" vertical="center"/>
    </xf>
    <xf numFmtId="0" fontId="27" fillId="0" borderId="16" xfId="0" applyFont="1" applyBorder="1" applyAlignment="1">
      <alignment vertical="center"/>
    </xf>
    <xf numFmtId="0" fontId="16" fillId="0" borderId="21" xfId="0" applyFont="1" applyBorder="1" applyAlignment="1">
      <alignment horizontal="right" vertical="center"/>
    </xf>
    <xf numFmtId="0" fontId="28" fillId="0" borderId="21" xfId="0" applyFont="1" applyBorder="1" applyAlignment="1">
      <alignment horizontal="right" vertical="center"/>
    </xf>
    <xf numFmtId="0" fontId="16" fillId="0" borderId="22" xfId="0" applyFont="1" applyBorder="1" applyAlignment="1">
      <alignment horizontal="right" vertical="center"/>
    </xf>
    <xf numFmtId="0" fontId="27" fillId="0" borderId="18" xfId="0" applyFont="1" applyBorder="1" applyAlignment="1">
      <alignment vertical="center"/>
    </xf>
    <xf numFmtId="0" fontId="0" fillId="0" borderId="0" xfId="0" pivotButton="1"/>
    <xf numFmtId="14" fontId="0" fillId="0" borderId="0" xfId="0" applyNumberFormat="1" applyAlignment="1">
      <alignment horizontal="left"/>
    </xf>
    <xf numFmtId="0" fontId="0" fillId="0" borderId="0" xfId="0" applyAlignment="1">
      <alignment horizontal="left"/>
    </xf>
    <xf numFmtId="175" fontId="1" fillId="0" borderId="0" xfId="3" applyNumberFormat="1" applyAlignment="1">
      <alignment horizontal="center"/>
    </xf>
    <xf numFmtId="3" fontId="1" fillId="0" borderId="0" xfId="3" applyNumberFormat="1"/>
    <xf numFmtId="3" fontId="1" fillId="3" borderId="0" xfId="3" applyNumberFormat="1" applyFill="1"/>
    <xf numFmtId="0" fontId="31" fillId="0" borderId="0" xfId="0" applyFont="1"/>
    <xf numFmtId="0" fontId="7" fillId="8" borderId="10" xfId="0" applyFont="1" applyFill="1" applyBorder="1" applyAlignment="1">
      <alignment horizontal="center" vertical="center" wrapText="1"/>
    </xf>
    <xf numFmtId="0" fontId="31" fillId="0" borderId="9" xfId="0" applyFont="1" applyBorder="1" applyAlignment="1">
      <alignment horizontal="center" vertical="center" wrapText="1"/>
    </xf>
    <xf numFmtId="0" fontId="33" fillId="0" borderId="9" xfId="0" applyFont="1" applyBorder="1" applyAlignment="1">
      <alignment horizontal="center" vertical="center" wrapText="1"/>
    </xf>
    <xf numFmtId="0" fontId="31" fillId="0" borderId="11" xfId="0" applyFont="1" applyBorder="1" applyAlignment="1">
      <alignment horizontal="center" vertical="center" wrapText="1"/>
    </xf>
    <xf numFmtId="14" fontId="31" fillId="0" borderId="11" xfId="0" applyNumberFormat="1" applyFont="1" applyBorder="1" applyAlignment="1">
      <alignment horizontal="center" vertical="center" wrapText="1"/>
    </xf>
    <xf numFmtId="0" fontId="31" fillId="0" borderId="10" xfId="0" applyFont="1" applyBorder="1" applyAlignment="1">
      <alignment horizontal="center" vertical="center" wrapText="1"/>
    </xf>
    <xf numFmtId="10" fontId="31" fillId="0" borderId="9" xfId="0" applyNumberFormat="1" applyFont="1" applyBorder="1" applyAlignment="1">
      <alignment horizontal="center" vertical="center" wrapText="1"/>
    </xf>
    <xf numFmtId="14" fontId="31" fillId="0" borderId="9" xfId="0" applyNumberFormat="1" applyFont="1" applyBorder="1" applyAlignment="1">
      <alignment horizontal="center" vertical="center" wrapText="1"/>
    </xf>
    <xf numFmtId="0" fontId="31" fillId="0" borderId="12" xfId="0" applyNumberFormat="1" applyFont="1" applyBorder="1"/>
    <xf numFmtId="0" fontId="2" fillId="0" borderId="0" xfId="9"/>
    <xf numFmtId="4" fontId="2" fillId="0" borderId="0" xfId="10" applyNumberFormat="1"/>
    <xf numFmtId="10" fontId="2" fillId="0" borderId="0" xfId="9" applyNumberFormat="1"/>
    <xf numFmtId="4" fontId="2" fillId="2" borderId="0" xfId="10" applyNumberFormat="1" applyFill="1"/>
    <xf numFmtId="0" fontId="5" fillId="0" borderId="0" xfId="9" applyFont="1"/>
    <xf numFmtId="4" fontId="2" fillId="2" borderId="0" xfId="9" applyNumberFormat="1" applyFill="1"/>
    <xf numFmtId="4" fontId="2" fillId="0" borderId="0" xfId="9" applyNumberFormat="1"/>
    <xf numFmtId="0" fontId="2" fillId="0" borderId="0" xfId="9" applyAlignment="1">
      <alignment wrapText="1"/>
    </xf>
    <xf numFmtId="0" fontId="5" fillId="0" borderId="0" xfId="9" applyFont="1" applyAlignment="1">
      <alignment horizontal="center" wrapText="1"/>
    </xf>
    <xf numFmtId="0" fontId="5" fillId="0" borderId="0" xfId="9" applyFont="1" applyAlignment="1"/>
    <xf numFmtId="9" fontId="2" fillId="0" borderId="0" xfId="9" applyNumberFormat="1" applyAlignment="1">
      <alignment horizontal="center"/>
    </xf>
    <xf numFmtId="4" fontId="2" fillId="0" borderId="0" xfId="10" applyNumberFormat="1" applyAlignment="1"/>
    <xf numFmtId="166" fontId="2" fillId="2" borderId="0" xfId="9" applyNumberFormat="1" applyFill="1" applyAlignment="1">
      <alignment horizontal="center"/>
    </xf>
    <xf numFmtId="4" fontId="2" fillId="2" borderId="0" xfId="10" applyNumberFormat="1" applyFill="1" applyAlignment="1"/>
    <xf numFmtId="43" fontId="2" fillId="0" borderId="0" xfId="10"/>
    <xf numFmtId="0" fontId="2" fillId="2" borderId="0" xfId="9" applyFill="1"/>
    <xf numFmtId="10" fontId="2" fillId="2" borderId="0" xfId="2" applyNumberFormat="1" applyFont="1" applyFill="1"/>
    <xf numFmtId="0" fontId="5" fillId="0" borderId="0" xfId="9" applyFont="1" applyAlignment="1">
      <alignment horizontal="center"/>
    </xf>
    <xf numFmtId="10" fontId="2" fillId="0" borderId="0" xfId="2" applyNumberFormat="1" applyFont="1"/>
    <xf numFmtId="10" fontId="2" fillId="0" borderId="0" xfId="2" applyNumberFormat="1" applyAlignment="1">
      <alignment horizontal="center"/>
    </xf>
    <xf numFmtId="10" fontId="2" fillId="2" borderId="0" xfId="2" applyNumberFormat="1" applyFill="1" applyAlignment="1">
      <alignment horizontal="center"/>
    </xf>
    <xf numFmtId="0" fontId="2" fillId="0" borderId="0" xfId="9" applyAlignment="1">
      <alignment horizontal="center"/>
    </xf>
    <xf numFmtId="14" fontId="2" fillId="0" borderId="0" xfId="9" applyNumberFormat="1" applyFont="1"/>
    <xf numFmtId="0" fontId="2" fillId="0" borderId="0" xfId="9" applyFont="1" applyAlignment="1">
      <alignment horizontal="center"/>
    </xf>
    <xf numFmtId="0" fontId="2" fillId="0" borderId="0" xfId="9" applyFont="1"/>
    <xf numFmtId="176" fontId="0" fillId="0" borderId="0" xfId="1" applyNumberFormat="1" applyFont="1"/>
    <xf numFmtId="15" fontId="5" fillId="0" borderId="0" xfId="0" applyNumberFormat="1" applyFont="1" applyAlignment="1">
      <alignment wrapText="1"/>
    </xf>
    <xf numFmtId="0" fontId="5" fillId="0" borderId="0" xfId="0" applyFont="1" applyAlignment="1">
      <alignment wrapText="1"/>
    </xf>
    <xf numFmtId="0" fontId="35" fillId="0" borderId="0" xfId="0" applyFont="1" applyAlignment="1">
      <alignment wrapText="1"/>
    </xf>
    <xf numFmtId="169" fontId="0" fillId="0" borderId="0" xfId="0" applyNumberFormat="1"/>
    <xf numFmtId="173" fontId="0" fillId="0" borderId="0" xfId="0" applyNumberFormat="1"/>
    <xf numFmtId="0" fontId="5" fillId="0" borderId="0" xfId="0" quotePrefix="1" applyFont="1" applyAlignment="1">
      <alignment horizontal="center" wrapText="1"/>
    </xf>
    <xf numFmtId="0" fontId="0" fillId="0" borderId="0" xfId="0" applyAlignment="1">
      <alignment horizontal="right"/>
    </xf>
    <xf numFmtId="3" fontId="0" fillId="0" borderId="0" xfId="0" applyNumberFormat="1" applyAlignment="1">
      <alignment horizontal="right"/>
    </xf>
    <xf numFmtId="4" fontId="0" fillId="0" borderId="0" xfId="0" applyNumberFormat="1" applyAlignment="1">
      <alignment horizontal="center"/>
    </xf>
    <xf numFmtId="0" fontId="0" fillId="9" borderId="0" xfId="0" applyFill="1" applyAlignment="1">
      <alignment horizontal="center"/>
    </xf>
    <xf numFmtId="0" fontId="0" fillId="9" borderId="0" xfId="0" applyFill="1" applyAlignment="1">
      <alignment horizontal="left"/>
    </xf>
    <xf numFmtId="10" fontId="2" fillId="9" borderId="0" xfId="0" applyNumberFormat="1" applyFont="1" applyFill="1"/>
    <xf numFmtId="10" fontId="0" fillId="9" borderId="0" xfId="0" applyNumberFormat="1" applyFill="1"/>
    <xf numFmtId="0" fontId="17" fillId="0" borderId="0" xfId="8" quotePrefix="1"/>
    <xf numFmtId="164" fontId="7" fillId="0" borderId="13" xfId="0" applyNumberFormat="1" applyFont="1" applyBorder="1" applyAlignment="1">
      <alignment horizontal="center"/>
    </xf>
    <xf numFmtId="0" fontId="32" fillId="7" borderId="6" xfId="0" applyFont="1" applyFill="1" applyBorder="1" applyAlignment="1">
      <alignment horizontal="center" vertical="center" wrapText="1"/>
    </xf>
    <xf numFmtId="0" fontId="32" fillId="7" borderId="7" xfId="0" applyFont="1" applyFill="1" applyBorder="1" applyAlignment="1">
      <alignment horizontal="center" vertical="center" wrapText="1"/>
    </xf>
    <xf numFmtId="0" fontId="32" fillId="7" borderId="8" xfId="0" applyFont="1" applyFill="1" applyBorder="1" applyAlignment="1">
      <alignment horizontal="center" vertical="center" wrapText="1"/>
    </xf>
    <xf numFmtId="0" fontId="31" fillId="0" borderId="0" xfId="0" applyFont="1"/>
    <xf numFmtId="0" fontId="7" fillId="8" borderId="9" xfId="0" applyFont="1" applyFill="1" applyBorder="1" applyAlignment="1">
      <alignment horizontal="center" vertical="center" wrapText="1"/>
    </xf>
    <xf numFmtId="0" fontId="7" fillId="8" borderId="10" xfId="0" applyFont="1" applyFill="1" applyBorder="1" applyAlignment="1">
      <alignment horizontal="center" vertical="center" wrapText="1"/>
    </xf>
    <xf numFmtId="0" fontId="31" fillId="0" borderId="9" xfId="0" applyFont="1" applyBorder="1" applyAlignment="1">
      <alignment vertical="center" wrapText="1"/>
    </xf>
    <xf numFmtId="0" fontId="31" fillId="0" borderId="11" xfId="0" applyFont="1" applyBorder="1" applyAlignment="1">
      <alignment vertical="center" wrapText="1"/>
    </xf>
    <xf numFmtId="0" fontId="31" fillId="0" borderId="10" xfId="0" applyFont="1" applyBorder="1" applyAlignment="1">
      <alignment vertical="center" wrapText="1"/>
    </xf>
    <xf numFmtId="14" fontId="31" fillId="0" borderId="9" xfId="0" applyNumberFormat="1" applyFont="1" applyBorder="1" applyAlignment="1">
      <alignment horizontal="center" vertical="center" wrapText="1"/>
    </xf>
    <xf numFmtId="14" fontId="31" fillId="0" borderId="11" xfId="0" applyNumberFormat="1" applyFont="1" applyBorder="1" applyAlignment="1">
      <alignment horizontal="center" vertical="center" wrapText="1"/>
    </xf>
    <xf numFmtId="14" fontId="31" fillId="0" borderId="10" xfId="0" applyNumberFormat="1" applyFont="1" applyBorder="1" applyAlignment="1">
      <alignment horizontal="center" vertical="center" wrapText="1"/>
    </xf>
    <xf numFmtId="0" fontId="31" fillId="0" borderId="9" xfId="0" applyFont="1" applyBorder="1" applyAlignment="1">
      <alignment horizontal="center" vertical="center" wrapText="1"/>
    </xf>
    <xf numFmtId="0" fontId="31" fillId="0" borderId="11" xfId="0" applyFont="1" applyBorder="1" applyAlignment="1">
      <alignment horizontal="center" vertical="center" wrapText="1"/>
    </xf>
    <xf numFmtId="0" fontId="31" fillId="0" borderId="10" xfId="0" applyFont="1" applyBorder="1" applyAlignment="1">
      <alignment horizontal="center" vertical="center" wrapText="1"/>
    </xf>
    <xf numFmtId="164" fontId="3" fillId="0" borderId="13" xfId="0" applyNumberFormat="1" applyFont="1" applyBorder="1" applyAlignment="1">
      <alignment horizontal="center"/>
    </xf>
    <xf numFmtId="0" fontId="17" fillId="0" borderId="9" xfId="8" applyFont="1" applyBorder="1" applyAlignment="1">
      <alignment horizontal="center" vertical="center" wrapText="1"/>
    </xf>
    <xf numFmtId="0" fontId="17" fillId="0" borderId="11" xfId="8" applyFont="1" applyBorder="1" applyAlignment="1">
      <alignment horizontal="center" vertical="center" wrapText="1"/>
    </xf>
    <xf numFmtId="0" fontId="17" fillId="0" borderId="10" xfId="8"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9" xfId="0" applyFont="1" applyBorder="1" applyAlignment="1">
      <alignment vertical="center" wrapText="1"/>
    </xf>
    <xf numFmtId="0" fontId="2" fillId="0" borderId="11" xfId="0" applyFont="1" applyBorder="1" applyAlignment="1">
      <alignment vertical="center" wrapText="1"/>
    </xf>
    <xf numFmtId="0" fontId="2" fillId="0" borderId="10" xfId="0" applyFont="1" applyBorder="1" applyAlignment="1">
      <alignment vertical="center" wrapText="1"/>
    </xf>
    <xf numFmtId="14" fontId="2" fillId="0" borderId="9" xfId="0" applyNumberFormat="1" applyFont="1" applyBorder="1" applyAlignment="1">
      <alignment horizontal="center" vertical="center" wrapText="1"/>
    </xf>
    <xf numFmtId="14" fontId="2" fillId="0" borderId="11" xfId="0" applyNumberFormat="1" applyFont="1" applyBorder="1" applyAlignment="1">
      <alignment horizontal="center" vertical="center" wrapText="1"/>
    </xf>
    <xf numFmtId="14" fontId="2" fillId="0" borderId="10" xfId="0" applyNumberFormat="1" applyFont="1" applyBorder="1" applyAlignment="1">
      <alignment horizontal="center" vertical="center" wrapText="1"/>
    </xf>
    <xf numFmtId="0" fontId="19" fillId="7" borderId="6" xfId="0" applyFont="1" applyFill="1" applyBorder="1" applyAlignment="1">
      <alignment horizontal="center" vertical="center" wrapText="1"/>
    </xf>
    <xf numFmtId="0" fontId="19" fillId="7" borderId="7" xfId="0" applyFont="1" applyFill="1" applyBorder="1" applyAlignment="1">
      <alignment horizontal="center" vertical="center" wrapText="1"/>
    </xf>
    <xf numFmtId="0" fontId="19" fillId="7" borderId="8" xfId="0" applyFont="1" applyFill="1" applyBorder="1" applyAlignment="1">
      <alignment horizontal="center" vertical="center" wrapText="1"/>
    </xf>
    <xf numFmtId="0" fontId="17" fillId="8" borderId="9" xfId="8" applyFont="1" applyFill="1" applyBorder="1" applyAlignment="1">
      <alignment horizontal="center" vertical="center" wrapText="1"/>
    </xf>
    <xf numFmtId="0" fontId="17" fillId="8" borderId="10" xfId="8" applyFont="1" applyFill="1" applyBorder="1" applyAlignment="1">
      <alignment horizontal="center" vertical="center" wrapText="1"/>
    </xf>
    <xf numFmtId="0" fontId="5" fillId="8" borderId="9" xfId="0" applyFont="1" applyFill="1" applyBorder="1" applyAlignment="1">
      <alignment horizontal="center" vertical="center" wrapText="1"/>
    </xf>
    <xf numFmtId="0" fontId="5" fillId="8" borderId="10" xfId="0" applyFont="1" applyFill="1" applyBorder="1" applyAlignment="1">
      <alignment horizontal="center" vertical="center" wrapText="1"/>
    </xf>
    <xf numFmtId="0" fontId="17" fillId="0" borderId="9" xfId="8" applyBorder="1" applyAlignment="1">
      <alignment horizontal="center" vertical="center" wrapText="1"/>
    </xf>
    <xf numFmtId="0" fontId="17" fillId="0" borderId="11" xfId="8" applyBorder="1" applyAlignment="1">
      <alignment horizontal="center" vertical="center" wrapText="1"/>
    </xf>
    <xf numFmtId="0" fontId="17" fillId="0" borderId="10" xfId="8" applyBorder="1" applyAlignment="1">
      <alignment horizontal="center" vertical="center" wrapText="1"/>
    </xf>
    <xf numFmtId="0" fontId="18" fillId="7" borderId="6" xfId="0" applyFont="1" applyFill="1" applyBorder="1" applyAlignment="1">
      <alignment horizontal="center" vertical="center" wrapText="1"/>
    </xf>
    <xf numFmtId="0" fontId="18" fillId="7" borderId="7" xfId="0" applyFont="1" applyFill="1" applyBorder="1" applyAlignment="1">
      <alignment horizontal="center" vertical="center" wrapText="1"/>
    </xf>
    <xf numFmtId="0" fontId="18" fillId="7" borderId="8" xfId="0" applyFont="1" applyFill="1" applyBorder="1" applyAlignment="1">
      <alignment horizontal="center" vertical="center" wrapText="1"/>
    </xf>
    <xf numFmtId="0" fontId="17" fillId="8" borderId="9" xfId="8" applyFill="1" applyBorder="1" applyAlignment="1">
      <alignment horizontal="center" vertical="center" wrapText="1"/>
    </xf>
    <xf numFmtId="0" fontId="17" fillId="8" borderId="10" xfId="8" applyFill="1" applyBorder="1" applyAlignment="1">
      <alignment horizontal="center" vertical="center" wrapText="1"/>
    </xf>
    <xf numFmtId="0" fontId="36" fillId="0" borderId="0" xfId="0" applyFont="1" applyAlignment="1">
      <alignment horizontal="center"/>
    </xf>
    <xf numFmtId="164" fontId="3" fillId="0" borderId="0" xfId="0" applyNumberFormat="1" applyFont="1" applyAlignment="1">
      <alignment horizontal="center"/>
    </xf>
    <xf numFmtId="0" fontId="3" fillId="0" borderId="0" xfId="0" applyFont="1" applyAlignment="1">
      <alignment horizontal="center"/>
    </xf>
    <xf numFmtId="0" fontId="3" fillId="0" borderId="0" xfId="0" applyFont="1" applyAlignment="1">
      <alignment horizontal="center" vertical="center" wrapText="1"/>
    </xf>
    <xf numFmtId="0" fontId="7" fillId="4" borderId="0" xfId="0" applyFont="1" applyFill="1" applyAlignment="1">
      <alignment horizontal="center"/>
    </xf>
    <xf numFmtId="0" fontId="3"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xf>
    <xf numFmtId="0" fontId="5" fillId="0" borderId="0" xfId="0" applyFont="1" applyAlignment="1">
      <alignment horizontal="center"/>
    </xf>
    <xf numFmtId="0" fontId="10" fillId="0" borderId="0" xfId="3" applyFont="1" applyAlignment="1">
      <alignment horizontal="center" vertical="center"/>
    </xf>
    <xf numFmtId="0" fontId="26" fillId="0" borderId="15" xfId="0" applyFont="1" applyBorder="1" applyAlignment="1">
      <alignment horizontal="left" wrapText="1"/>
    </xf>
    <xf numFmtId="0" fontId="26" fillId="0" borderId="19" xfId="0" applyFont="1" applyBorder="1" applyAlignment="1">
      <alignment horizontal="left" wrapText="1"/>
    </xf>
    <xf numFmtId="0" fontId="26" fillId="0" borderId="15" xfId="0" applyFont="1" applyBorder="1" applyAlignment="1">
      <alignment horizontal="center" wrapText="1"/>
    </xf>
    <xf numFmtId="0" fontId="26" fillId="0" borderId="19" xfId="0" applyFont="1" applyBorder="1" applyAlignment="1">
      <alignment horizontal="center" wrapText="1"/>
    </xf>
    <xf numFmtId="0" fontId="3" fillId="0" borderId="0" xfId="0" applyFont="1" applyAlignment="1">
      <alignment horizontal="center" wrapText="1"/>
    </xf>
    <xf numFmtId="0" fontId="3" fillId="0" borderId="0" xfId="9" applyFont="1" applyAlignment="1">
      <alignment horizontal="center" vertical="center" wrapText="1"/>
    </xf>
    <xf numFmtId="0" fontId="3" fillId="0" borderId="0" xfId="9" applyFont="1" applyAlignment="1">
      <alignment horizontal="center" wrapText="1"/>
    </xf>
    <xf numFmtId="0" fontId="3" fillId="0" borderId="0" xfId="9" applyFont="1" applyAlignment="1">
      <alignment horizontal="center"/>
    </xf>
  </cellXfs>
  <cellStyles count="12">
    <cellStyle name="Comma" xfId="1" builtinId="3"/>
    <cellStyle name="Comma 2" xfId="11"/>
    <cellStyle name="Comma_Inflation and capital budgeting" xfId="10"/>
    <cellStyle name="Heading 1 2" xfId="5"/>
    <cellStyle name="Heading 2 2" xfId="7"/>
    <cellStyle name="Hyperlink" xfId="8" builtinId="8"/>
    <cellStyle name="Normal" xfId="0" builtinId="0"/>
    <cellStyle name="Normal 2" xfId="3"/>
    <cellStyle name="Normal 3" xfId="4"/>
    <cellStyle name="Normal 4" xfId="9"/>
    <cellStyle name="Percent" xfId="2" builtinId="5"/>
    <cellStyle name="Title 2" xfId="6"/>
  </cellStyles>
  <dxfs count="8">
    <dxf>
      <numFmt numFmtId="0" formatCode="General"/>
      <fill>
        <patternFill patternType="none">
          <fgColor indexed="64"/>
          <bgColor auto="1"/>
        </patternFill>
      </fill>
    </dxf>
    <dxf>
      <numFmt numFmtId="0" formatCode="General"/>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left" vertical="center" textRotation="0" wrapText="0" indent="2" justifyLastLine="0" shrinkToFit="0" readingOrder="0"/>
    </dxf>
    <dxf>
      <numFmt numFmtId="177" formatCode="dd/mm/yyyy"/>
      <fill>
        <patternFill patternType="none">
          <fgColor indexed="64"/>
          <bgColor auto="1"/>
        </patternFill>
      </fill>
      <alignment horizontal="left" vertical="center" textRotation="0" wrapText="0" indent="2" justifyLastLine="0" shrinkToFit="0" readingOrder="0"/>
    </dxf>
    <dxf>
      <fill>
        <patternFill patternType="none">
          <fgColor indexed="64"/>
          <bgColor auto="1"/>
        </patternFill>
      </fill>
    </dxf>
    <dxf>
      <fill>
        <patternFill patternType="none">
          <fgColor indexed="64"/>
          <bgColor auto="1"/>
        </patternFill>
      </fill>
    </dxf>
    <dxf>
      <font>
        <b/>
        <i val="0"/>
        <color theme="5"/>
      </font>
      <border>
        <bottom style="medium">
          <color theme="1" tint="0.499984740745262"/>
        </bottom>
      </border>
    </dxf>
    <dxf>
      <fill>
        <patternFill>
          <bgColor theme="2"/>
        </patternFill>
      </fill>
      <border>
        <left style="thick">
          <color theme="3"/>
        </left>
        <right style="thick">
          <color theme="3"/>
        </right>
        <top style="thick">
          <color theme="3"/>
        </top>
        <bottom style="thick">
          <color theme="3"/>
        </bottom>
        <horizontal style="thin">
          <color theme="2" tint="-9.9948118533890809E-2"/>
        </horizontal>
      </border>
    </dxf>
  </dxfs>
  <tableStyles count="1" defaultTableStyle="TableStyleMedium9" defaultPivotStyle="PivotStyleLight16">
    <tableStyle name="Project Timeline" pivot="0" count="2">
      <tableStyleElement type="wholeTable" dxfId="7"/>
      <tableStyleElement type="headerRow" dxfId="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onnections" Target="connection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XYZ Bond Value</a:t>
            </a:r>
          </a:p>
        </c:rich>
      </c:tx>
      <c:layout>
        <c:manualLayout>
          <c:xMode val="edge"/>
          <c:yMode val="edge"/>
          <c:x val="0.36497965490600082"/>
          <c:y val="3.6232012256610428E-2"/>
        </c:manualLayout>
      </c:layout>
      <c:overlay val="0"/>
      <c:spPr>
        <a:noFill/>
        <a:ln>
          <a:noFill/>
        </a:ln>
        <a:effectLst/>
      </c:spPr>
    </c:title>
    <c:autoTitleDeleted val="0"/>
    <c:plotArea>
      <c:layout>
        <c:manualLayout>
          <c:layoutTarget val="inner"/>
          <c:xMode val="edge"/>
          <c:yMode val="edge"/>
          <c:x val="0.15347038733129101"/>
          <c:y val="0.14855125025210278"/>
          <c:w val="0.7895696196971197"/>
          <c:h val="0.68325048945429068"/>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'Page 464'!$E$5:$E$19</c:f>
              <c:numCache>
                <c:formatCode>0.00%</c:formatCode>
                <c:ptCount val="15"/>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numCache>
            </c:numRef>
          </c:xVal>
          <c:yVal>
            <c:numRef>
              <c:f>'Page 464'!$F$5:$F$19</c:f>
              <c:numCache>
                <c:formatCode>#,##0.00</c:formatCode>
                <c:ptCount val="15"/>
                <c:pt idx="0">
                  <c:v>1560</c:v>
                </c:pt>
                <c:pt idx="1">
                  <c:v>1459.1006651061268</c:v>
                </c:pt>
                <c:pt idx="2">
                  <c:v>1366.2740720247211</c:v>
                </c:pt>
                <c:pt idx="3">
                  <c:v>1280.7876875814188</c:v>
                </c:pt>
                <c:pt idx="4">
                  <c:v>1201.9823462485115</c:v>
                </c:pt>
                <c:pt idx="5">
                  <c:v>1129.2642551885247</c:v>
                </c:pt>
                <c:pt idx="6">
                  <c:v>1062.0979381096952</c:v>
                </c:pt>
                <c:pt idx="7">
                  <c:v>999.99999999999955</c:v>
                </c:pt>
                <c:pt idx="8">
                  <c:v>942.53361056274662</c:v>
                </c:pt>
                <c:pt idx="9">
                  <c:v>889.30361770505931</c:v>
                </c:pt>
                <c:pt idx="10">
                  <c:v>839.95221406291955</c:v>
                </c:pt>
                <c:pt idx="11">
                  <c:v>794.15508956291649</c:v>
                </c:pt>
                <c:pt idx="12">
                  <c:v>751.61801165807003</c:v>
                </c:pt>
                <c:pt idx="13">
                  <c:v>712.07378233334634</c:v>
                </c:pt>
                <c:pt idx="14">
                  <c:v>675.27952742538002</c:v>
                </c:pt>
              </c:numCache>
            </c:numRef>
          </c:yVal>
          <c:smooth val="1"/>
          <c:extLst xmlns:c16r2="http://schemas.microsoft.com/office/drawing/2015/06/chart">
            <c:ext xmlns:c16="http://schemas.microsoft.com/office/drawing/2014/chart" uri="{C3380CC4-5D6E-409C-BE32-E72D297353CC}">
              <c16:uniqueId val="{00000000-496A-4FB0-BBF1-D721F388EC0C}"/>
            </c:ext>
          </c:extLst>
        </c:ser>
        <c:ser>
          <c:idx val="1"/>
          <c:order val="1"/>
          <c:spPr>
            <a:ln w="19050" cap="rnd">
              <a:solidFill>
                <a:schemeClr val="accent2"/>
              </a:solidFill>
              <a:round/>
            </a:ln>
            <a:effectLst/>
          </c:spPr>
          <c:marker>
            <c:symbol val="none"/>
          </c:marker>
          <c:xVal>
            <c:numRef>
              <c:f>'Page 464'!$E$5:$E$19</c:f>
              <c:numCache>
                <c:formatCode>0.00%</c:formatCode>
                <c:ptCount val="15"/>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numCache>
            </c:numRef>
          </c:xVal>
          <c:yVal>
            <c:numRef>
              <c:f>'Page 464'!$K$5:$K$18</c:f>
              <c:numCache>
                <c:formatCode>General</c:formatCode>
                <c:ptCount val="14"/>
              </c:numCache>
            </c:numRef>
          </c:yVal>
          <c:smooth val="1"/>
          <c:extLst xmlns:c16r2="http://schemas.microsoft.com/office/drawing/2015/06/chart">
            <c:ext xmlns:c16="http://schemas.microsoft.com/office/drawing/2014/chart" uri="{C3380CC4-5D6E-409C-BE32-E72D297353CC}">
              <c16:uniqueId val="{00000001-496A-4FB0-BBF1-D721F388EC0C}"/>
            </c:ext>
          </c:extLst>
        </c:ser>
        <c:dLbls>
          <c:showLegendKey val="0"/>
          <c:showVal val="0"/>
          <c:showCatName val="0"/>
          <c:showSerName val="0"/>
          <c:showPercent val="0"/>
          <c:showBubbleSize val="0"/>
        </c:dLbls>
        <c:axId val="247170560"/>
        <c:axId val="247172480"/>
      </c:scatterChart>
      <c:valAx>
        <c:axId val="247170560"/>
        <c:scaling>
          <c:orientation val="minMax"/>
          <c:max val="0.14000000000000001"/>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Market interest rate</a:t>
                </a:r>
              </a:p>
            </c:rich>
          </c:tx>
          <c:layout>
            <c:manualLayout>
              <c:xMode val="edge"/>
              <c:yMode val="edge"/>
              <c:x val="0.47426064419771796"/>
              <c:y val="0.92240546478921359"/>
            </c:manualLayout>
          </c:layout>
          <c:overlay val="0"/>
          <c:spPr>
            <a:noFill/>
            <a:ln>
              <a:noFill/>
            </a:ln>
            <a:effectLst/>
          </c:sp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7172480"/>
        <c:crosses val="autoZero"/>
        <c:crossBetween val="midCat"/>
        <c:majorUnit val="1.7500000000000005E-2"/>
      </c:valAx>
      <c:valAx>
        <c:axId val="247172480"/>
        <c:scaling>
          <c:orientation val="minMax"/>
          <c:max val="1600"/>
          <c:min val="6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Bond value</a:t>
                </a:r>
              </a:p>
            </c:rich>
          </c:tx>
          <c:layout>
            <c:manualLayout>
              <c:xMode val="edge"/>
              <c:yMode val="edge"/>
              <c:x val="1.4101855689091506E-2"/>
              <c:y val="0.31159527389173441"/>
            </c:manualLayout>
          </c:layout>
          <c:overlay val="0"/>
          <c:spPr>
            <a:noFill/>
            <a:ln>
              <a:noFill/>
            </a:ln>
            <a:effectLst/>
          </c:sp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7170560"/>
        <c:crosses val="autoZero"/>
        <c:crossBetween val="midCat"/>
        <c:majorUnit val="1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alignWithMargins="0"/>
    <c:pageMargins b="1" l="0.75000000000000056" r="0.75000000000000056"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4399339658514423E-2"/>
          <c:y val="3.9426523297491037E-2"/>
          <c:w val="0.87774435881027235"/>
          <c:h val="0.92114695340501795"/>
        </c:manualLayout>
      </c:layout>
      <c:barChart>
        <c:barDir val="col"/>
        <c:grouping val="clustered"/>
        <c:varyColors val="0"/>
        <c:ser>
          <c:idx val="1"/>
          <c:order val="1"/>
          <c:tx>
            <c:strRef>
              <c:f>'Page 469'!$D$19</c:f>
              <c:strCache>
                <c:ptCount val="1"/>
                <c:pt idx="0">
                  <c:v>POSITION</c:v>
                </c:pt>
              </c:strCache>
            </c:strRef>
          </c:tx>
          <c:spPr>
            <a:noFill/>
          </c:spPr>
          <c:invertIfNegative val="0"/>
          <c:dLbls>
            <c:dLbl>
              <c:idx val="0"/>
              <c:layout>
                <c:manualLayout>
                  <c:x val="-1.2346319353737729E-17"/>
                  <c:y val="-4.1068820671032238E-18"/>
                </c:manualLayout>
              </c:layout>
              <c:dLblPos val="outEnd"/>
              <c:showLegendKey val="0"/>
              <c:showVal val="0"/>
              <c:showCatName val="1"/>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516B-46FF-AD5B-E11C2A0256E3}"/>
                </c:ext>
              </c:extLst>
            </c:dLbl>
            <c:dLbl>
              <c:idx val="1"/>
              <c:layout>
                <c:manualLayout>
                  <c:x val="-2.1949012184422629E-17"/>
                  <c:y val="-4.1068820671032238E-18"/>
                </c:manualLayout>
              </c:layout>
              <c:dLblPos val="outEnd"/>
              <c:showLegendKey val="0"/>
              <c:showVal val="0"/>
              <c:showCatName val="1"/>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1-516B-46FF-AD5B-E11C2A0256E3}"/>
                </c:ext>
              </c:extLst>
            </c:dLbl>
            <c:dLbl>
              <c:idx val="2"/>
              <c:layout>
                <c:manualLayout>
                  <c:x val="-2.1949012184422629E-17"/>
                  <c:y val="4.1068820671032238E-18"/>
                </c:manualLayout>
              </c:layout>
              <c:dLblPos val="outEnd"/>
              <c:showLegendKey val="0"/>
              <c:showVal val="0"/>
              <c:showCatName val="1"/>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516B-46FF-AD5B-E11C2A0256E3}"/>
                </c:ext>
              </c:extLst>
            </c:dLbl>
            <c:dLbl>
              <c:idx val="3"/>
              <c:layout>
                <c:manualLayout>
                  <c:x val="-1.0974506092211315E-17"/>
                  <c:y val="-4.1068820671032238E-18"/>
                </c:manualLayout>
              </c:layout>
              <c:dLblPos val="outEnd"/>
              <c:showLegendKey val="0"/>
              <c:showVal val="0"/>
              <c:showCatName val="1"/>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3-516B-46FF-AD5B-E11C2A0256E3}"/>
                </c:ext>
              </c:extLst>
            </c:dLbl>
            <c:dLbl>
              <c:idx val="4"/>
              <c:layout>
                <c:manualLayout>
                  <c:x val="-1.0974506092211315E-17"/>
                  <c:y val="4.1068820671032238E-18"/>
                </c:manualLayout>
              </c:layout>
              <c:dLblPos val="outEnd"/>
              <c:showLegendKey val="0"/>
              <c:showVal val="0"/>
              <c:showCatName val="1"/>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516B-46FF-AD5B-E11C2A0256E3}"/>
                </c:ext>
              </c:extLst>
            </c:dLbl>
            <c:dLbl>
              <c:idx val="5"/>
              <c:layout>
                <c:manualLayout>
                  <c:x val="-1.0974506092211315E-17"/>
                  <c:y val="-4.1068820671032238E-18"/>
                </c:manualLayout>
              </c:layout>
              <c:dLblPos val="outEnd"/>
              <c:showLegendKey val="0"/>
              <c:showVal val="0"/>
              <c:showCatName val="1"/>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5-516B-46FF-AD5B-E11C2A0256E3}"/>
                </c:ext>
              </c:extLst>
            </c:dLbl>
            <c:dLbl>
              <c:idx val="6"/>
              <c:layout>
                <c:manualLayout>
                  <c:x val="-1.0974506092211315E-17"/>
                  <c:y val="4.1068820671032238E-18"/>
                </c:manualLayout>
              </c:layout>
              <c:dLblPos val="outEnd"/>
              <c:showLegendKey val="0"/>
              <c:showVal val="0"/>
              <c:showCatName val="1"/>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6-516B-46FF-AD5B-E11C2A0256E3}"/>
                </c:ext>
              </c:extLst>
            </c:dLbl>
            <c:dLbl>
              <c:idx val="7"/>
              <c:layout>
                <c:manualLayout>
                  <c:x val="-1.0974506092211315E-17"/>
                  <c:y val="-4.1068820671032238E-18"/>
                </c:manualLayout>
              </c:layout>
              <c:dLblPos val="outEnd"/>
              <c:showLegendKey val="0"/>
              <c:showVal val="0"/>
              <c:showCatName val="1"/>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7-516B-46FF-AD5B-E11C2A0256E3}"/>
                </c:ext>
              </c:extLst>
            </c:dLbl>
            <c:dLbl>
              <c:idx val="8"/>
              <c:layout>
                <c:manualLayout>
                  <c:x val="-1.0974506092211315E-17"/>
                  <c:y val="4.1068820671032238E-18"/>
                </c:manualLayout>
              </c:layout>
              <c:dLblPos val="outEnd"/>
              <c:showLegendKey val="0"/>
              <c:showVal val="0"/>
              <c:showCatName val="1"/>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8-516B-46FF-AD5B-E11C2A0256E3}"/>
                </c:ext>
              </c:extLst>
            </c:dLbl>
            <c:dLbl>
              <c:idx val="9"/>
              <c:layout>
                <c:manualLayout>
                  <c:x val="-1.0974506092211315E-17"/>
                  <c:y val="-4.1068820671032238E-18"/>
                </c:manualLayout>
              </c:layout>
              <c:dLblPos val="outEnd"/>
              <c:showLegendKey val="0"/>
              <c:showVal val="0"/>
              <c:showCatName val="1"/>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9-516B-46FF-AD5B-E11C2A0256E3}"/>
                </c:ext>
              </c:extLst>
            </c:dLbl>
            <c:dLbl>
              <c:idx val="10"/>
              <c:layout>
                <c:manualLayout>
                  <c:x val="-1.8656660356759235E-16"/>
                  <c:y val="4.1068820671032238E-18"/>
                </c:manualLayout>
              </c:layout>
              <c:dLblPos val="outEnd"/>
              <c:showLegendKey val="0"/>
              <c:showVal val="0"/>
              <c:showCatName val="1"/>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A-516B-46FF-AD5B-E11C2A0256E3}"/>
                </c:ext>
              </c:extLst>
            </c:dLbl>
            <c:dLbl>
              <c:idx val="11"/>
              <c:layout>
                <c:manualLayout>
                  <c:x val="-1.0974506092211315E-17"/>
                  <c:y val="-4.1068820671032238E-18"/>
                </c:manualLayout>
              </c:layout>
              <c:dLblPos val="outEnd"/>
              <c:showLegendKey val="0"/>
              <c:showVal val="0"/>
              <c:showCatName val="1"/>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B-516B-46FF-AD5B-E11C2A0256E3}"/>
                </c:ext>
              </c:extLst>
            </c:dLbl>
            <c:spPr>
              <a:noFill/>
              <a:ln>
                <a:noFill/>
              </a:ln>
              <a:effectLst/>
            </c:spPr>
            <c:dLblPos val="outEnd"/>
            <c:showLegendKey val="0"/>
            <c:showVal val="0"/>
            <c:showCatName val="1"/>
            <c:showSerName val="0"/>
            <c:showPercent val="0"/>
            <c:showBubbleSize val="0"/>
            <c:showLeaderLines val="0"/>
            <c:extLst xmlns:c16r2="http://schemas.microsoft.com/office/drawing/2015/06/chart">
              <c:ext xmlns:c15="http://schemas.microsoft.com/office/drawing/2012/chart" uri="{CE6537A1-D6FC-4f65-9D91-7224C49458BB}">
                <c15:spPr xmlns:c15="http://schemas.microsoft.com/office/drawing/2012/chart">
                  <a:prstGeom prst="rect">
                    <a:avLst/>
                  </a:prstGeom>
                </c15:spPr>
                <c15:showLeaderLines val="0"/>
              </c:ext>
            </c:extLst>
          </c:dLbls>
          <c:errBars>
            <c:errBarType val="minus"/>
            <c:errValType val="percentage"/>
            <c:noEndCap val="0"/>
            <c:val val="100"/>
            <c:spPr>
              <a:ln>
                <a:solidFill>
                  <a:schemeClr val="bg1">
                    <a:lumMod val="75000"/>
                  </a:schemeClr>
                </a:solidFill>
              </a:ln>
            </c:spPr>
          </c:errBars>
          <c:cat>
            <c:strRef>
              <c:f>'Page 469'!$C$20:$C$32</c:f>
              <c:strCache>
                <c:ptCount val="9"/>
                <c:pt idx="0">
                  <c:v>XYZ bond is issued</c:v>
                </c:pt>
                <c:pt idx="1">
                  <c:v>Bond purchase date 
(quote: $-1,050)</c:v>
                </c:pt>
                <c:pt idx="2">
                  <c:v>First coupon ($70)</c:v>
                </c:pt>
                <c:pt idx="3">
                  <c:v>Second coupon ($70)</c:v>
                </c:pt>
                <c:pt idx="4">
                  <c:v>Third coupon ($70)</c:v>
                </c:pt>
                <c:pt idx="5">
                  <c:v>Fourth coupon ($70)</c:v>
                </c:pt>
                <c:pt idx="6">
                  <c:v>Fifth coupon ($70)</c:v>
                </c:pt>
                <c:pt idx="7">
                  <c:v>Sixth coupon ($70)</c:v>
                </c:pt>
                <c:pt idx="8">
                  <c:v>Last coupon ($70) + principal payment ($1,000)</c:v>
                </c:pt>
              </c:strCache>
            </c:strRef>
          </c:cat>
          <c:val>
            <c:numRef>
              <c:f>'Page 469'!$D$20:$D$32</c:f>
              <c:numCache>
                <c:formatCode>General</c:formatCode>
                <c:ptCount val="13"/>
                <c:pt idx="0">
                  <c:v>10</c:v>
                </c:pt>
                <c:pt idx="1">
                  <c:v>-12</c:v>
                </c:pt>
                <c:pt idx="2">
                  <c:v>-10</c:v>
                </c:pt>
                <c:pt idx="3">
                  <c:v>-10</c:v>
                </c:pt>
                <c:pt idx="4">
                  <c:v>-10</c:v>
                </c:pt>
                <c:pt idx="5">
                  <c:v>-10</c:v>
                </c:pt>
                <c:pt idx="6">
                  <c:v>-10</c:v>
                </c:pt>
                <c:pt idx="7">
                  <c:v>-10</c:v>
                </c:pt>
                <c:pt idx="8">
                  <c:v>10</c:v>
                </c:pt>
              </c:numCache>
            </c:numRef>
          </c:val>
          <c:extLst xmlns:c16r2="http://schemas.microsoft.com/office/drawing/2015/06/chart">
            <c:ext xmlns:c16="http://schemas.microsoft.com/office/drawing/2014/chart" uri="{C3380CC4-5D6E-409C-BE32-E72D297353CC}">
              <c16:uniqueId val="{0000000C-516B-46FF-AD5B-E11C2A0256E3}"/>
            </c:ext>
          </c:extLst>
        </c:ser>
        <c:dLbls>
          <c:showLegendKey val="0"/>
          <c:showVal val="0"/>
          <c:showCatName val="0"/>
          <c:showSerName val="0"/>
          <c:showPercent val="0"/>
          <c:showBubbleSize val="0"/>
        </c:dLbls>
        <c:gapWidth val="150"/>
        <c:axId val="247506048"/>
        <c:axId val="247504256"/>
      </c:barChart>
      <c:lineChart>
        <c:grouping val="standard"/>
        <c:varyColors val="0"/>
        <c:ser>
          <c:idx val="0"/>
          <c:order val="0"/>
          <c:tx>
            <c:strRef>
              <c:f>'Page 469'!$B$19</c:f>
              <c:strCache>
                <c:ptCount val="1"/>
                <c:pt idx="0">
                  <c:v>DATE</c:v>
                </c:pt>
              </c:strCache>
            </c:strRef>
          </c:tx>
          <c:spPr>
            <a:ln>
              <a:noFill/>
            </a:ln>
          </c:spPr>
          <c:marker>
            <c:symbol val="circle"/>
            <c:size val="4"/>
            <c:spPr>
              <a:solidFill>
                <a:schemeClr val="accent1"/>
              </a:solidFill>
              <a:ln w="60325">
                <a:solidFill>
                  <a:schemeClr val="accent1"/>
                </a:solidFill>
              </a:ln>
            </c:spPr>
          </c:marker>
          <c:errBars>
            <c:errDir val="y"/>
            <c:errBarType val="both"/>
            <c:errValType val="percentage"/>
            <c:noEndCap val="0"/>
            <c:val val="5"/>
          </c:errBars>
          <c:cat>
            <c:numRef>
              <c:f>'Page 469'!$B$20:$B$32</c:f>
              <c:numCache>
                <c:formatCode>m/d/yyyy</c:formatCode>
                <c:ptCount val="13"/>
                <c:pt idx="0">
                  <c:v>41988</c:v>
                </c:pt>
                <c:pt idx="1">
                  <c:v>42097</c:v>
                </c:pt>
                <c:pt idx="2">
                  <c:v>42353</c:v>
                </c:pt>
                <c:pt idx="3">
                  <c:v>42719</c:v>
                </c:pt>
                <c:pt idx="4">
                  <c:v>43084</c:v>
                </c:pt>
                <c:pt idx="5">
                  <c:v>43449</c:v>
                </c:pt>
                <c:pt idx="6">
                  <c:v>43814</c:v>
                </c:pt>
                <c:pt idx="7">
                  <c:v>44180</c:v>
                </c:pt>
                <c:pt idx="8">
                  <c:v>44545</c:v>
                </c:pt>
              </c:numCache>
            </c:numRef>
          </c:cat>
          <c:val>
            <c:numRef>
              <c:f>'Page 469'!$E$20:$E$32</c:f>
              <c:numCache>
                <c:formatCode>General</c:formatCode>
                <c:ptCount val="13"/>
                <c:pt idx="0">
                  <c:v>1</c:v>
                </c:pt>
                <c:pt idx="1">
                  <c:v>1</c:v>
                </c:pt>
                <c:pt idx="2">
                  <c:v>1</c:v>
                </c:pt>
                <c:pt idx="3">
                  <c:v>1</c:v>
                </c:pt>
                <c:pt idx="4">
                  <c:v>1</c:v>
                </c:pt>
                <c:pt idx="5">
                  <c:v>1</c:v>
                </c:pt>
                <c:pt idx="6">
                  <c:v>1</c:v>
                </c:pt>
                <c:pt idx="7">
                  <c:v>1</c:v>
                </c:pt>
                <c:pt idx="8">
                  <c:v>1</c:v>
                </c:pt>
                <c:pt idx="9">
                  <c:v>1</c:v>
                </c:pt>
                <c:pt idx="10">
                  <c:v>1</c:v>
                </c:pt>
                <c:pt idx="11">
                  <c:v>1</c:v>
                </c:pt>
              </c:numCache>
            </c:numRef>
          </c:val>
          <c:smooth val="1"/>
          <c:extLst xmlns:c16r2="http://schemas.microsoft.com/office/drawing/2015/06/chart">
            <c:ext xmlns:c16="http://schemas.microsoft.com/office/drawing/2014/chart" uri="{C3380CC4-5D6E-409C-BE32-E72D297353CC}">
              <c16:uniqueId val="{0000000D-516B-46FF-AD5B-E11C2A0256E3}"/>
            </c:ext>
          </c:extLst>
        </c:ser>
        <c:dLbls>
          <c:showLegendKey val="0"/>
          <c:showVal val="0"/>
          <c:showCatName val="0"/>
          <c:showSerName val="0"/>
          <c:showPercent val="0"/>
          <c:showBubbleSize val="0"/>
        </c:dLbls>
        <c:marker val="1"/>
        <c:smooth val="0"/>
        <c:axId val="247501184"/>
        <c:axId val="247502720"/>
      </c:lineChart>
      <c:dateAx>
        <c:axId val="247501184"/>
        <c:scaling>
          <c:orientation val="minMax"/>
        </c:scaling>
        <c:delete val="0"/>
        <c:axPos val="b"/>
        <c:numFmt formatCode="[$-409]d\-mmm\-yy;@" sourceLinked="0"/>
        <c:majorTickMark val="cross"/>
        <c:minorTickMark val="in"/>
        <c:tickLblPos val="nextTo"/>
        <c:spPr>
          <a:solidFill>
            <a:schemeClr val="bg1"/>
          </a:solidFill>
          <a:ln w="9525">
            <a:solidFill>
              <a:schemeClr val="bg1">
                <a:lumMod val="65000"/>
              </a:schemeClr>
            </a:solidFill>
            <a:prstDash val="solid"/>
          </a:ln>
        </c:spPr>
        <c:txPr>
          <a:bodyPr rot="-5400000" vert="horz"/>
          <a:lstStyle/>
          <a:p>
            <a:pPr>
              <a:defRPr/>
            </a:pPr>
            <a:endParaRPr lang="en-US"/>
          </a:p>
        </c:txPr>
        <c:crossAx val="247502720"/>
        <c:crosses val="autoZero"/>
        <c:auto val="1"/>
        <c:lblOffset val="100"/>
        <c:baseTimeUnit val="days"/>
        <c:majorUnit val="3"/>
        <c:majorTimeUnit val="months"/>
        <c:minorUnit val="7"/>
        <c:minorTimeUnit val="days"/>
      </c:dateAx>
      <c:valAx>
        <c:axId val="247502720"/>
        <c:scaling>
          <c:orientation val="minMax"/>
        </c:scaling>
        <c:delete val="1"/>
        <c:axPos val="l"/>
        <c:numFmt formatCode="General" sourceLinked="1"/>
        <c:majorTickMark val="out"/>
        <c:minorTickMark val="none"/>
        <c:tickLblPos val="nextTo"/>
        <c:crossAx val="247501184"/>
        <c:crosses val="autoZero"/>
        <c:crossBetween val="midCat"/>
      </c:valAx>
      <c:valAx>
        <c:axId val="247504256"/>
        <c:scaling>
          <c:orientation val="minMax"/>
        </c:scaling>
        <c:delete val="1"/>
        <c:axPos val="r"/>
        <c:numFmt formatCode="General" sourceLinked="1"/>
        <c:majorTickMark val="out"/>
        <c:minorTickMark val="none"/>
        <c:tickLblPos val="nextTo"/>
        <c:crossAx val="247506048"/>
        <c:crosses val="max"/>
        <c:crossBetween val="between"/>
      </c:valAx>
      <c:catAx>
        <c:axId val="247506048"/>
        <c:scaling>
          <c:orientation val="minMax"/>
        </c:scaling>
        <c:delete val="1"/>
        <c:axPos val="b"/>
        <c:numFmt formatCode="General" sourceLinked="1"/>
        <c:majorTickMark val="out"/>
        <c:minorTickMark val="none"/>
        <c:tickLblPos val="nextTo"/>
        <c:crossAx val="247504256"/>
        <c:crosses val="autoZero"/>
        <c:auto val="1"/>
        <c:lblAlgn val="ctr"/>
        <c:lblOffset val="100"/>
        <c:noMultiLvlLbl val="0"/>
      </c:catAx>
      <c:spPr>
        <a:noFill/>
      </c:spPr>
    </c:plotArea>
    <c:plotVisOnly val="0"/>
    <c:dispBlanksAs val="gap"/>
    <c:showDLblsOverMax val="0"/>
  </c:chart>
  <c:spPr>
    <a:noFill/>
    <a:ln>
      <a:noFill/>
    </a:ln>
  </c:spPr>
  <c:txPr>
    <a:bodyPr/>
    <a:lstStyle/>
    <a:p>
      <a:pPr>
        <a:defRPr sz="900">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800" b="1" i="0" baseline="0">
                <a:effectLst/>
              </a:rPr>
              <a:t>TREASURY STRIP YIELD CURVE</a:t>
            </a:r>
            <a:endParaRPr lang="en-US">
              <a:effectLst/>
            </a:endParaRPr>
          </a:p>
        </c:rich>
      </c:tx>
      <c:overlay val="0"/>
      <c:spPr>
        <a:noFill/>
        <a:ln>
          <a:noFill/>
        </a:ln>
        <a:effectLst/>
      </c:spPr>
    </c:title>
    <c:autoTitleDeleted val="0"/>
    <c:plotArea>
      <c:layout/>
      <c:lineChart>
        <c:grouping val="standard"/>
        <c:varyColors val="0"/>
        <c:ser>
          <c:idx val="0"/>
          <c:order val="0"/>
          <c:tx>
            <c:strRef>
              <c:f>'Page 489'!$E$4</c:f>
              <c:strCache>
                <c:ptCount val="1"/>
                <c:pt idx="0">
                  <c:v>Annual yield</c:v>
                </c:pt>
              </c:strCache>
            </c:strRef>
          </c:tx>
          <c:spPr>
            <a:ln w="28575" cap="rnd">
              <a:solidFill>
                <a:schemeClr val="accent1"/>
              </a:solidFill>
              <a:round/>
            </a:ln>
            <a:effectLst/>
          </c:spPr>
          <c:marker>
            <c:symbol val="none"/>
          </c:marker>
          <c:cat>
            <c:numRef>
              <c:f>'Page 489'!$A$5:$A$187</c:f>
              <c:numCache>
                <c:formatCode>[$-409]d\-mmm\-yy;@</c:formatCode>
                <c:ptCount val="183"/>
                <c:pt idx="0">
                  <c:v>41958</c:v>
                </c:pt>
                <c:pt idx="1">
                  <c:v>41988</c:v>
                </c:pt>
                <c:pt idx="2">
                  <c:v>42004</c:v>
                </c:pt>
                <c:pt idx="3">
                  <c:v>42019</c:v>
                </c:pt>
                <c:pt idx="4">
                  <c:v>42050</c:v>
                </c:pt>
                <c:pt idx="5">
                  <c:v>42078</c:v>
                </c:pt>
                <c:pt idx="6">
                  <c:v>42109</c:v>
                </c:pt>
                <c:pt idx="7">
                  <c:v>42139</c:v>
                </c:pt>
                <c:pt idx="8">
                  <c:v>42155</c:v>
                </c:pt>
                <c:pt idx="9">
                  <c:v>42170</c:v>
                </c:pt>
                <c:pt idx="10">
                  <c:v>42185</c:v>
                </c:pt>
                <c:pt idx="11">
                  <c:v>42200</c:v>
                </c:pt>
                <c:pt idx="12">
                  <c:v>42216</c:v>
                </c:pt>
                <c:pt idx="13">
                  <c:v>42231</c:v>
                </c:pt>
                <c:pt idx="14">
                  <c:v>42247</c:v>
                </c:pt>
                <c:pt idx="15">
                  <c:v>42262</c:v>
                </c:pt>
                <c:pt idx="16">
                  <c:v>42277</c:v>
                </c:pt>
                <c:pt idx="17">
                  <c:v>42292</c:v>
                </c:pt>
                <c:pt idx="18">
                  <c:v>42308</c:v>
                </c:pt>
                <c:pt idx="19">
                  <c:v>42323</c:v>
                </c:pt>
                <c:pt idx="20">
                  <c:v>42338</c:v>
                </c:pt>
                <c:pt idx="21">
                  <c:v>42353</c:v>
                </c:pt>
                <c:pt idx="22">
                  <c:v>42369</c:v>
                </c:pt>
                <c:pt idx="23">
                  <c:v>42384</c:v>
                </c:pt>
                <c:pt idx="24">
                  <c:v>42400</c:v>
                </c:pt>
                <c:pt idx="25">
                  <c:v>42415</c:v>
                </c:pt>
                <c:pt idx="26">
                  <c:v>42444</c:v>
                </c:pt>
                <c:pt idx="27">
                  <c:v>42475</c:v>
                </c:pt>
                <c:pt idx="28">
                  <c:v>42505</c:v>
                </c:pt>
                <c:pt idx="29">
                  <c:v>42536</c:v>
                </c:pt>
                <c:pt idx="30">
                  <c:v>42551</c:v>
                </c:pt>
                <c:pt idx="31">
                  <c:v>42566</c:v>
                </c:pt>
                <c:pt idx="32">
                  <c:v>42597</c:v>
                </c:pt>
                <c:pt idx="33">
                  <c:v>42628</c:v>
                </c:pt>
                <c:pt idx="34">
                  <c:v>42658</c:v>
                </c:pt>
                <c:pt idx="35">
                  <c:v>42689</c:v>
                </c:pt>
                <c:pt idx="36">
                  <c:v>42719</c:v>
                </c:pt>
                <c:pt idx="37">
                  <c:v>42735</c:v>
                </c:pt>
                <c:pt idx="38">
                  <c:v>42781</c:v>
                </c:pt>
                <c:pt idx="39">
                  <c:v>42870</c:v>
                </c:pt>
                <c:pt idx="40">
                  <c:v>42962</c:v>
                </c:pt>
                <c:pt idx="41">
                  <c:v>43054</c:v>
                </c:pt>
                <c:pt idx="42">
                  <c:v>43131</c:v>
                </c:pt>
                <c:pt idx="43">
                  <c:v>43146</c:v>
                </c:pt>
                <c:pt idx="44">
                  <c:v>43159</c:v>
                </c:pt>
                <c:pt idx="45">
                  <c:v>43190</c:v>
                </c:pt>
                <c:pt idx="46">
                  <c:v>43220</c:v>
                </c:pt>
                <c:pt idx="47">
                  <c:v>43235</c:v>
                </c:pt>
                <c:pt idx="48">
                  <c:v>43251</c:v>
                </c:pt>
                <c:pt idx="49">
                  <c:v>43281</c:v>
                </c:pt>
                <c:pt idx="50">
                  <c:v>43312</c:v>
                </c:pt>
                <c:pt idx="51">
                  <c:v>43327</c:v>
                </c:pt>
                <c:pt idx="52">
                  <c:v>43343</c:v>
                </c:pt>
                <c:pt idx="53">
                  <c:v>43373</c:v>
                </c:pt>
                <c:pt idx="54">
                  <c:v>43404</c:v>
                </c:pt>
                <c:pt idx="55">
                  <c:v>43419</c:v>
                </c:pt>
                <c:pt idx="56">
                  <c:v>43434</c:v>
                </c:pt>
                <c:pt idx="57">
                  <c:v>43465</c:v>
                </c:pt>
                <c:pt idx="58">
                  <c:v>43496</c:v>
                </c:pt>
                <c:pt idx="59">
                  <c:v>43511</c:v>
                </c:pt>
                <c:pt idx="60">
                  <c:v>43524</c:v>
                </c:pt>
                <c:pt idx="61">
                  <c:v>43555</c:v>
                </c:pt>
                <c:pt idx="62">
                  <c:v>43585</c:v>
                </c:pt>
                <c:pt idx="63">
                  <c:v>43600</c:v>
                </c:pt>
                <c:pt idx="64">
                  <c:v>43616</c:v>
                </c:pt>
                <c:pt idx="65">
                  <c:v>43646</c:v>
                </c:pt>
                <c:pt idx="66">
                  <c:v>43677</c:v>
                </c:pt>
                <c:pt idx="67">
                  <c:v>43692</c:v>
                </c:pt>
                <c:pt idx="68">
                  <c:v>43708</c:v>
                </c:pt>
                <c:pt idx="69">
                  <c:v>43738</c:v>
                </c:pt>
                <c:pt idx="70">
                  <c:v>43769</c:v>
                </c:pt>
                <c:pt idx="71">
                  <c:v>43784</c:v>
                </c:pt>
                <c:pt idx="72">
                  <c:v>43799</c:v>
                </c:pt>
                <c:pt idx="73">
                  <c:v>43830</c:v>
                </c:pt>
                <c:pt idx="74">
                  <c:v>43861</c:v>
                </c:pt>
                <c:pt idx="75">
                  <c:v>43876</c:v>
                </c:pt>
                <c:pt idx="76">
                  <c:v>43890</c:v>
                </c:pt>
                <c:pt idx="77">
                  <c:v>43921</c:v>
                </c:pt>
                <c:pt idx="78">
                  <c:v>43951</c:v>
                </c:pt>
                <c:pt idx="79">
                  <c:v>43966</c:v>
                </c:pt>
                <c:pt idx="80">
                  <c:v>43982</c:v>
                </c:pt>
                <c:pt idx="81">
                  <c:v>44012</c:v>
                </c:pt>
                <c:pt idx="82">
                  <c:v>44043</c:v>
                </c:pt>
                <c:pt idx="83">
                  <c:v>44058</c:v>
                </c:pt>
                <c:pt idx="84">
                  <c:v>44074</c:v>
                </c:pt>
                <c:pt idx="85">
                  <c:v>44104</c:v>
                </c:pt>
                <c:pt idx="86">
                  <c:v>44135</c:v>
                </c:pt>
                <c:pt idx="87">
                  <c:v>44150</c:v>
                </c:pt>
                <c:pt idx="88">
                  <c:v>44165</c:v>
                </c:pt>
                <c:pt idx="89">
                  <c:v>44242</c:v>
                </c:pt>
                <c:pt idx="90">
                  <c:v>44331</c:v>
                </c:pt>
                <c:pt idx="91">
                  <c:v>44423</c:v>
                </c:pt>
                <c:pt idx="92">
                  <c:v>44515</c:v>
                </c:pt>
                <c:pt idx="93">
                  <c:v>44607</c:v>
                </c:pt>
                <c:pt idx="94">
                  <c:v>44696</c:v>
                </c:pt>
                <c:pt idx="95">
                  <c:v>44788</c:v>
                </c:pt>
                <c:pt idx="96">
                  <c:v>44880</c:v>
                </c:pt>
                <c:pt idx="97">
                  <c:v>44972</c:v>
                </c:pt>
                <c:pt idx="98">
                  <c:v>45061</c:v>
                </c:pt>
                <c:pt idx="99">
                  <c:v>45153</c:v>
                </c:pt>
                <c:pt idx="100">
                  <c:v>45245</c:v>
                </c:pt>
                <c:pt idx="101">
                  <c:v>45337</c:v>
                </c:pt>
                <c:pt idx="102">
                  <c:v>45427</c:v>
                </c:pt>
                <c:pt idx="103">
                  <c:v>45519</c:v>
                </c:pt>
                <c:pt idx="104">
                  <c:v>45611</c:v>
                </c:pt>
                <c:pt idx="105">
                  <c:v>45703</c:v>
                </c:pt>
                <c:pt idx="106">
                  <c:v>45792</c:v>
                </c:pt>
                <c:pt idx="107">
                  <c:v>45884</c:v>
                </c:pt>
                <c:pt idx="108">
                  <c:v>45976</c:v>
                </c:pt>
                <c:pt idx="109">
                  <c:v>46068</c:v>
                </c:pt>
                <c:pt idx="110">
                  <c:v>46157</c:v>
                </c:pt>
                <c:pt idx="111">
                  <c:v>46249</c:v>
                </c:pt>
                <c:pt idx="112">
                  <c:v>46341</c:v>
                </c:pt>
                <c:pt idx="113">
                  <c:v>46433</c:v>
                </c:pt>
                <c:pt idx="114">
                  <c:v>46522</c:v>
                </c:pt>
                <c:pt idx="115">
                  <c:v>46614</c:v>
                </c:pt>
                <c:pt idx="116">
                  <c:v>46706</c:v>
                </c:pt>
                <c:pt idx="117">
                  <c:v>46798</c:v>
                </c:pt>
                <c:pt idx="118">
                  <c:v>46888</c:v>
                </c:pt>
                <c:pt idx="119">
                  <c:v>46980</c:v>
                </c:pt>
                <c:pt idx="120">
                  <c:v>47072</c:v>
                </c:pt>
                <c:pt idx="121">
                  <c:v>47164</c:v>
                </c:pt>
                <c:pt idx="122">
                  <c:v>47253</c:v>
                </c:pt>
                <c:pt idx="123">
                  <c:v>47345</c:v>
                </c:pt>
                <c:pt idx="124">
                  <c:v>47437</c:v>
                </c:pt>
                <c:pt idx="125">
                  <c:v>47529</c:v>
                </c:pt>
                <c:pt idx="126">
                  <c:v>47618</c:v>
                </c:pt>
                <c:pt idx="127">
                  <c:v>47710</c:v>
                </c:pt>
                <c:pt idx="128">
                  <c:v>47802</c:v>
                </c:pt>
                <c:pt idx="129">
                  <c:v>47894</c:v>
                </c:pt>
                <c:pt idx="130">
                  <c:v>47983</c:v>
                </c:pt>
                <c:pt idx="131">
                  <c:v>48075</c:v>
                </c:pt>
                <c:pt idx="132">
                  <c:v>48167</c:v>
                </c:pt>
                <c:pt idx="133">
                  <c:v>48259</c:v>
                </c:pt>
                <c:pt idx="134">
                  <c:v>48349</c:v>
                </c:pt>
                <c:pt idx="135">
                  <c:v>48441</c:v>
                </c:pt>
                <c:pt idx="136">
                  <c:v>48533</c:v>
                </c:pt>
                <c:pt idx="137">
                  <c:v>48625</c:v>
                </c:pt>
                <c:pt idx="138">
                  <c:v>48714</c:v>
                </c:pt>
                <c:pt idx="139">
                  <c:v>48806</c:v>
                </c:pt>
                <c:pt idx="140">
                  <c:v>48898</c:v>
                </c:pt>
                <c:pt idx="141">
                  <c:v>48990</c:v>
                </c:pt>
                <c:pt idx="142">
                  <c:v>49079</c:v>
                </c:pt>
                <c:pt idx="143">
                  <c:v>49171</c:v>
                </c:pt>
                <c:pt idx="144">
                  <c:v>49263</c:v>
                </c:pt>
                <c:pt idx="145">
                  <c:v>49355</c:v>
                </c:pt>
                <c:pt idx="146">
                  <c:v>49444</c:v>
                </c:pt>
                <c:pt idx="147">
                  <c:v>49536</c:v>
                </c:pt>
                <c:pt idx="148">
                  <c:v>49628</c:v>
                </c:pt>
                <c:pt idx="149">
                  <c:v>49720</c:v>
                </c:pt>
                <c:pt idx="150">
                  <c:v>49810</c:v>
                </c:pt>
                <c:pt idx="151">
                  <c:v>49902</c:v>
                </c:pt>
                <c:pt idx="152">
                  <c:v>49994</c:v>
                </c:pt>
                <c:pt idx="153">
                  <c:v>50086</c:v>
                </c:pt>
                <c:pt idx="154">
                  <c:v>50175</c:v>
                </c:pt>
                <c:pt idx="155">
                  <c:v>50267</c:v>
                </c:pt>
                <c:pt idx="156">
                  <c:v>50359</c:v>
                </c:pt>
                <c:pt idx="157">
                  <c:v>50451</c:v>
                </c:pt>
                <c:pt idx="158">
                  <c:v>50540</c:v>
                </c:pt>
                <c:pt idx="159">
                  <c:v>50632</c:v>
                </c:pt>
                <c:pt idx="160">
                  <c:v>50724</c:v>
                </c:pt>
                <c:pt idx="161">
                  <c:v>50816</c:v>
                </c:pt>
                <c:pt idx="162">
                  <c:v>50905</c:v>
                </c:pt>
                <c:pt idx="163">
                  <c:v>50997</c:v>
                </c:pt>
                <c:pt idx="164">
                  <c:v>51089</c:v>
                </c:pt>
                <c:pt idx="165">
                  <c:v>51181</c:v>
                </c:pt>
                <c:pt idx="166">
                  <c:v>51271</c:v>
                </c:pt>
                <c:pt idx="167">
                  <c:v>51363</c:v>
                </c:pt>
                <c:pt idx="168">
                  <c:v>51455</c:v>
                </c:pt>
                <c:pt idx="169">
                  <c:v>51547</c:v>
                </c:pt>
                <c:pt idx="170">
                  <c:v>51636</c:v>
                </c:pt>
                <c:pt idx="171">
                  <c:v>51728</c:v>
                </c:pt>
                <c:pt idx="172">
                  <c:v>51820</c:v>
                </c:pt>
                <c:pt idx="173">
                  <c:v>51912</c:v>
                </c:pt>
                <c:pt idx="174">
                  <c:v>52001</c:v>
                </c:pt>
                <c:pt idx="175">
                  <c:v>52093</c:v>
                </c:pt>
                <c:pt idx="176">
                  <c:v>52185</c:v>
                </c:pt>
                <c:pt idx="177">
                  <c:v>52277</c:v>
                </c:pt>
                <c:pt idx="178">
                  <c:v>52366</c:v>
                </c:pt>
                <c:pt idx="179">
                  <c:v>52458</c:v>
                </c:pt>
                <c:pt idx="180">
                  <c:v>52550</c:v>
                </c:pt>
                <c:pt idx="181">
                  <c:v>52642</c:v>
                </c:pt>
                <c:pt idx="182">
                  <c:v>52732</c:v>
                </c:pt>
              </c:numCache>
            </c:numRef>
          </c:cat>
          <c:val>
            <c:numRef>
              <c:f>'Page 489'!$E$5:$E$187</c:f>
              <c:numCache>
                <c:formatCode>0.0000%</c:formatCode>
                <c:ptCount val="183"/>
                <c:pt idx="0">
                  <c:v>1.7110967080413708E-4</c:v>
                </c:pt>
                <c:pt idx="1">
                  <c:v>3.8274695628448541E-4</c:v>
                </c:pt>
                <c:pt idx="2">
                  <c:v>5.1490442051083107E-4</c:v>
                </c:pt>
                <c:pt idx="3">
                  <c:v>2.3551866593374271E-4</c:v>
                </c:pt>
                <c:pt idx="4">
                  <c:v>2.5024355276981325E-4</c:v>
                </c:pt>
                <c:pt idx="5">
                  <c:v>5.8856758765490902E-4</c:v>
                </c:pt>
                <c:pt idx="6">
                  <c:v>6.8847036820551821E-4</c:v>
                </c:pt>
                <c:pt idx="7">
                  <c:v>4.97143963372082E-4</c:v>
                </c:pt>
                <c:pt idx="8">
                  <c:v>5.4216046078869873E-4</c:v>
                </c:pt>
                <c:pt idx="9">
                  <c:v>7.933525803121011E-4</c:v>
                </c:pt>
                <c:pt idx="10">
                  <c:v>7.9677780145259725E-4</c:v>
                </c:pt>
                <c:pt idx="11">
                  <c:v>1.0266516822787786E-3</c:v>
                </c:pt>
                <c:pt idx="12">
                  <c:v>6.1706559140972672E-4</c:v>
                </c:pt>
                <c:pt idx="13">
                  <c:v>8.0638871168337012E-4</c:v>
                </c:pt>
                <c:pt idx="14">
                  <c:v>7.3961026061741819E-4</c:v>
                </c:pt>
                <c:pt idx="15">
                  <c:v>9.9492284230873196E-4</c:v>
                </c:pt>
                <c:pt idx="16">
                  <c:v>8.6383669235878813E-4</c:v>
                </c:pt>
                <c:pt idx="17">
                  <c:v>1.0232468492361591E-3</c:v>
                </c:pt>
                <c:pt idx="18">
                  <c:v>1.0617544269244661E-3</c:v>
                </c:pt>
                <c:pt idx="19">
                  <c:v>1.2182138257483821E-3</c:v>
                </c:pt>
                <c:pt idx="20">
                  <c:v>1.3129974965044866E-3</c:v>
                </c:pt>
                <c:pt idx="21">
                  <c:v>1.4211574933253868E-3</c:v>
                </c:pt>
                <c:pt idx="22">
                  <c:v>1.5475108442997154E-3</c:v>
                </c:pt>
                <c:pt idx="23">
                  <c:v>1.6887442301589672E-3</c:v>
                </c:pt>
                <c:pt idx="24">
                  <c:v>1.7747098732863176E-3</c:v>
                </c:pt>
                <c:pt idx="25">
                  <c:v>1.8426483560012308E-3</c:v>
                </c:pt>
                <c:pt idx="26">
                  <c:v>2.2220285791405558E-3</c:v>
                </c:pt>
                <c:pt idx="27">
                  <c:v>2.2401465145094335E-3</c:v>
                </c:pt>
                <c:pt idx="28">
                  <c:v>2.4600482380516819E-3</c:v>
                </c:pt>
                <c:pt idx="29">
                  <c:v>2.8409885962341619E-3</c:v>
                </c:pt>
                <c:pt idx="30">
                  <c:v>3.0081463365387862E-3</c:v>
                </c:pt>
                <c:pt idx="31">
                  <c:v>3.6165978381450525E-3</c:v>
                </c:pt>
                <c:pt idx="32">
                  <c:v>3.5316298714718197E-3</c:v>
                </c:pt>
                <c:pt idx="33">
                  <c:v>3.9403482624036368E-3</c:v>
                </c:pt>
                <c:pt idx="34">
                  <c:v>4.5611627956505529E-3</c:v>
                </c:pt>
                <c:pt idx="35">
                  <c:v>4.5815784426259665E-3</c:v>
                </c:pt>
                <c:pt idx="36">
                  <c:v>4.8258838175694319E-3</c:v>
                </c:pt>
                <c:pt idx="37">
                  <c:v>5.0395680518298125E-3</c:v>
                </c:pt>
                <c:pt idx="38">
                  <c:v>5.8410433403015549E-3</c:v>
                </c:pt>
                <c:pt idx="39">
                  <c:v>6.5249531666002891E-3</c:v>
                </c:pt>
                <c:pt idx="40">
                  <c:v>7.7315677599909538E-3</c:v>
                </c:pt>
                <c:pt idx="41">
                  <c:v>9.0035417191309808E-3</c:v>
                </c:pt>
                <c:pt idx="42">
                  <c:v>1.0295460683215962E-2</c:v>
                </c:pt>
                <c:pt idx="43">
                  <c:v>1.0165109619636015E-2</c:v>
                </c:pt>
                <c:pt idx="44">
                  <c:v>1.0147107501454311E-2</c:v>
                </c:pt>
                <c:pt idx="45">
                  <c:v>1.0463492018501386E-2</c:v>
                </c:pt>
                <c:pt idx="46">
                  <c:v>1.1115096546904235E-2</c:v>
                </c:pt>
                <c:pt idx="47">
                  <c:v>1.0773120610876985E-2</c:v>
                </c:pt>
                <c:pt idx="48">
                  <c:v>1.1294261004292538E-2</c:v>
                </c:pt>
                <c:pt idx="49">
                  <c:v>1.1494354494457903E-2</c:v>
                </c:pt>
                <c:pt idx="50">
                  <c:v>1.201059365267354E-2</c:v>
                </c:pt>
                <c:pt idx="51">
                  <c:v>1.1786552546951823E-2</c:v>
                </c:pt>
                <c:pt idx="52">
                  <c:v>1.1854497155867838E-2</c:v>
                </c:pt>
                <c:pt idx="53">
                  <c:v>1.2012390736008127E-2</c:v>
                </c:pt>
                <c:pt idx="54">
                  <c:v>1.284603179260313E-2</c:v>
                </c:pt>
                <c:pt idx="55">
                  <c:v>1.2637952600401681E-2</c:v>
                </c:pt>
                <c:pt idx="56">
                  <c:v>1.2953977533340932E-2</c:v>
                </c:pt>
                <c:pt idx="57">
                  <c:v>1.3236321836846754E-2</c:v>
                </c:pt>
                <c:pt idx="58">
                  <c:v>1.3541675396801622E-2</c:v>
                </c:pt>
                <c:pt idx="59">
                  <c:v>1.3395768885550607E-2</c:v>
                </c:pt>
                <c:pt idx="60">
                  <c:v>1.390215343013379E-2</c:v>
                </c:pt>
                <c:pt idx="61">
                  <c:v>1.3956966862224363E-2</c:v>
                </c:pt>
                <c:pt idx="62">
                  <c:v>1.4419597439025544E-2</c:v>
                </c:pt>
                <c:pt idx="63">
                  <c:v>1.4346125870207338E-2</c:v>
                </c:pt>
                <c:pt idx="64">
                  <c:v>1.4634251351023586E-2</c:v>
                </c:pt>
                <c:pt idx="65">
                  <c:v>1.4765552816899508E-2</c:v>
                </c:pt>
                <c:pt idx="66">
                  <c:v>1.4975351375366541E-2</c:v>
                </c:pt>
                <c:pt idx="67">
                  <c:v>1.4625481372943394E-2</c:v>
                </c:pt>
                <c:pt idx="68">
                  <c:v>1.5044703344303745E-2</c:v>
                </c:pt>
                <c:pt idx="69">
                  <c:v>1.5088672322766117E-2</c:v>
                </c:pt>
                <c:pt idx="70">
                  <c:v>1.5498965111955698E-2</c:v>
                </c:pt>
                <c:pt idx="71">
                  <c:v>1.5517380279488346E-2</c:v>
                </c:pt>
                <c:pt idx="72">
                  <c:v>1.5607375132252743E-2</c:v>
                </c:pt>
                <c:pt idx="73">
                  <c:v>1.5813506345804251E-2</c:v>
                </c:pt>
                <c:pt idx="74">
                  <c:v>1.5873484486575995E-2</c:v>
                </c:pt>
                <c:pt idx="75">
                  <c:v>1.5913787011029523E-2</c:v>
                </c:pt>
                <c:pt idx="76">
                  <c:v>1.6094473521299113E-2</c:v>
                </c:pt>
                <c:pt idx="77">
                  <c:v>1.6673966151574682E-2</c:v>
                </c:pt>
                <c:pt idx="78">
                  <c:v>1.654730324388054E-2</c:v>
                </c:pt>
                <c:pt idx="79">
                  <c:v>1.648241589860322E-2</c:v>
                </c:pt>
                <c:pt idx="80">
                  <c:v>1.6831283794866536E-2</c:v>
                </c:pt>
                <c:pt idx="81">
                  <c:v>1.6918816009092064E-2</c:v>
                </c:pt>
                <c:pt idx="82">
                  <c:v>1.7019587547258519E-2</c:v>
                </c:pt>
                <c:pt idx="83">
                  <c:v>1.7282365074176909E-2</c:v>
                </c:pt>
                <c:pt idx="84">
                  <c:v>1.7193612687825599E-2</c:v>
                </c:pt>
                <c:pt idx="85">
                  <c:v>1.7715120711248034E-2</c:v>
                </c:pt>
                <c:pt idx="86">
                  <c:v>1.8008652859756946E-2</c:v>
                </c:pt>
                <c:pt idx="87">
                  <c:v>1.7907516068191631E-2</c:v>
                </c:pt>
                <c:pt idx="88">
                  <c:v>1.8110373067280028E-2</c:v>
                </c:pt>
                <c:pt idx="89">
                  <c:v>1.8218263757433073E-2</c:v>
                </c:pt>
                <c:pt idx="90">
                  <c:v>1.8765531733781815E-2</c:v>
                </c:pt>
                <c:pt idx="91">
                  <c:v>1.9012485494124931E-2</c:v>
                </c:pt>
                <c:pt idx="92">
                  <c:v>1.9637410863196703E-2</c:v>
                </c:pt>
                <c:pt idx="93">
                  <c:v>2.0072189596950674E-2</c:v>
                </c:pt>
                <c:pt idx="94">
                  <c:v>2.0429461249698022E-2</c:v>
                </c:pt>
                <c:pt idx="95">
                  <c:v>2.0676616607231635E-2</c:v>
                </c:pt>
                <c:pt idx="96">
                  <c:v>2.1062903684496037E-2</c:v>
                </c:pt>
                <c:pt idx="97">
                  <c:v>2.1600761924351453E-2</c:v>
                </c:pt>
                <c:pt idx="98">
                  <c:v>2.190796371765491E-2</c:v>
                </c:pt>
                <c:pt idx="99">
                  <c:v>2.2045863653650022E-2</c:v>
                </c:pt>
                <c:pt idx="100">
                  <c:v>2.2453459835901857E-2</c:v>
                </c:pt>
                <c:pt idx="101">
                  <c:v>2.3158004793017994E-2</c:v>
                </c:pt>
                <c:pt idx="102">
                  <c:v>2.3444762856833279E-2</c:v>
                </c:pt>
                <c:pt idx="103">
                  <c:v>2.376879418304978E-2</c:v>
                </c:pt>
                <c:pt idx="104">
                  <c:v>2.3573011782362485E-2</c:v>
                </c:pt>
                <c:pt idx="105">
                  <c:v>2.3872086952745786E-2</c:v>
                </c:pt>
                <c:pt idx="106">
                  <c:v>2.4710863788717896E-2</c:v>
                </c:pt>
                <c:pt idx="107">
                  <c:v>2.4413832734629937E-2</c:v>
                </c:pt>
                <c:pt idx="108">
                  <c:v>2.5283836434176088E-2</c:v>
                </c:pt>
                <c:pt idx="109">
                  <c:v>2.4979051509319561E-2</c:v>
                </c:pt>
                <c:pt idx="110">
                  <c:v>2.5767527710983451E-2</c:v>
                </c:pt>
                <c:pt idx="111">
                  <c:v>2.5407259827767259E-2</c:v>
                </c:pt>
                <c:pt idx="112">
                  <c:v>2.5617862224023735E-2</c:v>
                </c:pt>
                <c:pt idx="113">
                  <c:v>2.5854300871142266E-2</c:v>
                </c:pt>
                <c:pt idx="114">
                  <c:v>2.6603211279307315E-2</c:v>
                </c:pt>
                <c:pt idx="115">
                  <c:v>2.6243030819573132E-2</c:v>
                </c:pt>
                <c:pt idx="116">
                  <c:v>2.6492512366186771E-2</c:v>
                </c:pt>
                <c:pt idx="117">
                  <c:v>2.7173949148149967E-2</c:v>
                </c:pt>
                <c:pt idx="118">
                  <c:v>2.7308221187168025E-2</c:v>
                </c:pt>
                <c:pt idx="119">
                  <c:v>2.6897631384031673E-2</c:v>
                </c:pt>
                <c:pt idx="120">
                  <c:v>2.7007096439785938E-2</c:v>
                </c:pt>
                <c:pt idx="121">
                  <c:v>2.7232202504277048E-2</c:v>
                </c:pt>
                <c:pt idx="122">
                  <c:v>2.7916994420403851E-2</c:v>
                </c:pt>
                <c:pt idx="123">
                  <c:v>2.7455216732625409E-2</c:v>
                </c:pt>
                <c:pt idx="124">
                  <c:v>2.8113024749309767E-2</c:v>
                </c:pt>
                <c:pt idx="125">
                  <c:v>2.8185645110646362E-2</c:v>
                </c:pt>
                <c:pt idx="126">
                  <c:v>2.7687906929148909E-2</c:v>
                </c:pt>
                <c:pt idx="127">
                  <c:v>2.8320407059945651E-2</c:v>
                </c:pt>
                <c:pt idx="128">
                  <c:v>2.8392946436609279E-2</c:v>
                </c:pt>
                <c:pt idx="129">
                  <c:v>2.7957087661969027E-2</c:v>
                </c:pt>
                <c:pt idx="130">
                  <c:v>2.8578144184513654E-2</c:v>
                </c:pt>
                <c:pt idx="131">
                  <c:v>2.8651422325172371E-2</c:v>
                </c:pt>
                <c:pt idx="132">
                  <c:v>2.8723797592232314E-2</c:v>
                </c:pt>
                <c:pt idx="133">
                  <c:v>2.8797246699507451E-2</c:v>
                </c:pt>
                <c:pt idx="134">
                  <c:v>2.8878957550258821E-2</c:v>
                </c:pt>
                <c:pt idx="135">
                  <c:v>2.8952539718073433E-2</c:v>
                </c:pt>
                <c:pt idx="136">
                  <c:v>2.902531109417561E-2</c:v>
                </c:pt>
                <c:pt idx="137">
                  <c:v>2.9098251102861239E-2</c:v>
                </c:pt>
                <c:pt idx="138">
                  <c:v>2.9184452557061924E-2</c:v>
                </c:pt>
                <c:pt idx="139">
                  <c:v>2.9257629429929377E-2</c:v>
                </c:pt>
                <c:pt idx="140">
                  <c:v>2.9331019544186265E-2</c:v>
                </c:pt>
                <c:pt idx="141">
                  <c:v>2.9403703581787344E-2</c:v>
                </c:pt>
                <c:pt idx="142">
                  <c:v>2.9464113724512409E-2</c:v>
                </c:pt>
                <c:pt idx="143">
                  <c:v>2.9512321598785141E-2</c:v>
                </c:pt>
                <c:pt idx="144">
                  <c:v>2.9584920614054155E-2</c:v>
                </c:pt>
                <c:pt idx="145">
                  <c:v>2.9658715456936324E-2</c:v>
                </c:pt>
                <c:pt idx="146">
                  <c:v>2.9743918181515117E-2</c:v>
                </c:pt>
                <c:pt idx="147">
                  <c:v>2.9791753268123999E-2</c:v>
                </c:pt>
                <c:pt idx="148">
                  <c:v>2.9840068993649549E-2</c:v>
                </c:pt>
                <c:pt idx="149">
                  <c:v>2.9263099143032267E-2</c:v>
                </c:pt>
                <c:pt idx="150">
                  <c:v>2.9994558298342078E-2</c:v>
                </c:pt>
                <c:pt idx="151">
                  <c:v>3.0043163106119763E-2</c:v>
                </c:pt>
                <c:pt idx="152">
                  <c:v>3.014163472353748E-2</c:v>
                </c:pt>
                <c:pt idx="153">
                  <c:v>2.9666884024821982E-2</c:v>
                </c:pt>
                <c:pt idx="154">
                  <c:v>2.9739284161012458E-2</c:v>
                </c:pt>
                <c:pt idx="155">
                  <c:v>3.0322913250572903E-2</c:v>
                </c:pt>
                <c:pt idx="156">
                  <c:v>3.037094245587757E-2</c:v>
                </c:pt>
                <c:pt idx="157">
                  <c:v>3.0152030304900768E-2</c:v>
                </c:pt>
                <c:pt idx="158">
                  <c:v>3.0198147816265175E-2</c:v>
                </c:pt>
                <c:pt idx="159">
                  <c:v>3.0577312831972847E-2</c:v>
                </c:pt>
                <c:pt idx="160">
                  <c:v>3.0625309873691497E-2</c:v>
                </c:pt>
                <c:pt idx="161">
                  <c:v>3.0393875913172552E-2</c:v>
                </c:pt>
                <c:pt idx="162">
                  <c:v>3.0401917367858911E-2</c:v>
                </c:pt>
                <c:pt idx="163">
                  <c:v>3.0437299484394442E-2</c:v>
                </c:pt>
                <c:pt idx="164">
                  <c:v>3.048579790193906E-2</c:v>
                </c:pt>
                <c:pt idx="165">
                  <c:v>3.0508155353002442E-2</c:v>
                </c:pt>
                <c:pt idx="166">
                  <c:v>3.0575917246355999E-2</c:v>
                </c:pt>
                <c:pt idx="167">
                  <c:v>3.0649999187209342E-2</c:v>
                </c:pt>
                <c:pt idx="168">
                  <c:v>3.0634974577828489E-2</c:v>
                </c:pt>
                <c:pt idx="169">
                  <c:v>3.0568216478854326E-2</c:v>
                </c:pt>
                <c:pt idx="170">
                  <c:v>3.0690732106175345E-2</c:v>
                </c:pt>
                <c:pt idx="171">
                  <c:v>3.0765449723364258E-2</c:v>
                </c:pt>
                <c:pt idx="172">
                  <c:v>3.0902994186076116E-2</c:v>
                </c:pt>
                <c:pt idx="173">
                  <c:v>3.0977674194224036E-2</c:v>
                </c:pt>
                <c:pt idx="174">
                  <c:v>3.1010490906645094E-2</c:v>
                </c:pt>
                <c:pt idx="175">
                  <c:v>3.1097639078033756E-2</c:v>
                </c:pt>
                <c:pt idx="176">
                  <c:v>3.1133526357878472E-2</c:v>
                </c:pt>
                <c:pt idx="177">
                  <c:v>3.1181973130383733E-2</c:v>
                </c:pt>
                <c:pt idx="178">
                  <c:v>3.424848130857594E-2</c:v>
                </c:pt>
                <c:pt idx="179">
                  <c:v>3.4277612169641092E-2</c:v>
                </c:pt>
                <c:pt idx="180">
                  <c:v>3.4278684292036843E-2</c:v>
                </c:pt>
                <c:pt idx="181">
                  <c:v>3.3850955244920655E-2</c:v>
                </c:pt>
                <c:pt idx="182">
                  <c:v>3.4088407459618608E-2</c:v>
                </c:pt>
              </c:numCache>
            </c:numRef>
          </c:val>
          <c:smooth val="0"/>
          <c:extLst xmlns:c16r2="http://schemas.microsoft.com/office/drawing/2015/06/chart">
            <c:ext xmlns:c16="http://schemas.microsoft.com/office/drawing/2014/chart" uri="{C3380CC4-5D6E-409C-BE32-E72D297353CC}">
              <c16:uniqueId val="{00000000-FD48-4CBF-979C-FF5FBE2CE08A}"/>
            </c:ext>
          </c:extLst>
        </c:ser>
        <c:dLbls>
          <c:showLegendKey val="0"/>
          <c:showVal val="0"/>
          <c:showCatName val="0"/>
          <c:showSerName val="0"/>
          <c:showPercent val="0"/>
          <c:showBubbleSize val="0"/>
        </c:dLbls>
        <c:marker val="1"/>
        <c:smooth val="0"/>
        <c:axId val="249249792"/>
        <c:axId val="249251328"/>
      </c:lineChart>
      <c:dateAx>
        <c:axId val="249249792"/>
        <c:scaling>
          <c:orientation val="minMax"/>
        </c:scaling>
        <c:delete val="0"/>
        <c:axPos val="b"/>
        <c:numFmt formatCode="[$-409]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9251328"/>
        <c:crosses val="autoZero"/>
        <c:auto val="1"/>
        <c:lblOffset val="100"/>
        <c:baseTimeUnit val="days"/>
      </c:dateAx>
      <c:valAx>
        <c:axId val="249251328"/>
        <c:scaling>
          <c:orientation val="minMax"/>
        </c:scaling>
        <c:delete val="0"/>
        <c:axPos val="l"/>
        <c:majorGridlines>
          <c:spPr>
            <a:ln w="9525" cap="flat" cmpd="sng" algn="ctr">
              <a:solidFill>
                <a:schemeClr val="tx1">
                  <a:lumMod val="15000"/>
                  <a:lumOff val="85000"/>
                </a:schemeClr>
              </a:solidFill>
              <a:round/>
            </a:ln>
            <a:effectLst/>
          </c:spPr>
        </c:majorGridlines>
        <c:numFmt formatCode="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924979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'Page 490'!$C$2</c:f>
              <c:strCache>
                <c:ptCount val="1"/>
                <c:pt idx="0">
                  <c:v>Purchasing power of $1 in 2014 terms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'Page 490'!$A$3:$A$69</c:f>
              <c:numCache>
                <c:formatCode>d\-mmm\-yy</c:formatCode>
                <c:ptCount val="67"/>
                <c:pt idx="0">
                  <c:v>17168</c:v>
                </c:pt>
                <c:pt idx="1">
                  <c:v>17533</c:v>
                </c:pt>
                <c:pt idx="2">
                  <c:v>17899</c:v>
                </c:pt>
                <c:pt idx="3">
                  <c:v>18264</c:v>
                </c:pt>
                <c:pt idx="4">
                  <c:v>18629</c:v>
                </c:pt>
                <c:pt idx="5">
                  <c:v>18994</c:v>
                </c:pt>
                <c:pt idx="6">
                  <c:v>19360</c:v>
                </c:pt>
                <c:pt idx="7">
                  <c:v>19725</c:v>
                </c:pt>
                <c:pt idx="8">
                  <c:v>20090</c:v>
                </c:pt>
                <c:pt idx="9">
                  <c:v>20455</c:v>
                </c:pt>
                <c:pt idx="10">
                  <c:v>20821</c:v>
                </c:pt>
                <c:pt idx="11">
                  <c:v>21186</c:v>
                </c:pt>
                <c:pt idx="12">
                  <c:v>21551</c:v>
                </c:pt>
                <c:pt idx="13">
                  <c:v>21916</c:v>
                </c:pt>
                <c:pt idx="14">
                  <c:v>22282</c:v>
                </c:pt>
                <c:pt idx="15">
                  <c:v>22647</c:v>
                </c:pt>
                <c:pt idx="16">
                  <c:v>23012</c:v>
                </c:pt>
                <c:pt idx="17">
                  <c:v>23377</c:v>
                </c:pt>
                <c:pt idx="18">
                  <c:v>23743</c:v>
                </c:pt>
                <c:pt idx="19">
                  <c:v>24108</c:v>
                </c:pt>
                <c:pt idx="20">
                  <c:v>24473</c:v>
                </c:pt>
                <c:pt idx="21">
                  <c:v>24838</c:v>
                </c:pt>
                <c:pt idx="22">
                  <c:v>25204</c:v>
                </c:pt>
                <c:pt idx="23">
                  <c:v>25569</c:v>
                </c:pt>
                <c:pt idx="24">
                  <c:v>25934</c:v>
                </c:pt>
                <c:pt idx="25">
                  <c:v>26299</c:v>
                </c:pt>
                <c:pt idx="26">
                  <c:v>26665</c:v>
                </c:pt>
                <c:pt idx="27">
                  <c:v>27030</c:v>
                </c:pt>
                <c:pt idx="28">
                  <c:v>27395</c:v>
                </c:pt>
                <c:pt idx="29">
                  <c:v>27760</c:v>
                </c:pt>
                <c:pt idx="30">
                  <c:v>28126</c:v>
                </c:pt>
                <c:pt idx="31">
                  <c:v>28491</c:v>
                </c:pt>
                <c:pt idx="32">
                  <c:v>28856</c:v>
                </c:pt>
                <c:pt idx="33">
                  <c:v>29221</c:v>
                </c:pt>
                <c:pt idx="34">
                  <c:v>29587</c:v>
                </c:pt>
                <c:pt idx="35">
                  <c:v>29952</c:v>
                </c:pt>
                <c:pt idx="36">
                  <c:v>30317</c:v>
                </c:pt>
                <c:pt idx="37">
                  <c:v>30682</c:v>
                </c:pt>
                <c:pt idx="38">
                  <c:v>31048</c:v>
                </c:pt>
                <c:pt idx="39">
                  <c:v>31413</c:v>
                </c:pt>
                <c:pt idx="40">
                  <c:v>31778</c:v>
                </c:pt>
                <c:pt idx="41">
                  <c:v>32143</c:v>
                </c:pt>
                <c:pt idx="42">
                  <c:v>32509</c:v>
                </c:pt>
                <c:pt idx="43">
                  <c:v>32874</c:v>
                </c:pt>
                <c:pt idx="44">
                  <c:v>33239</c:v>
                </c:pt>
                <c:pt idx="45">
                  <c:v>33604</c:v>
                </c:pt>
                <c:pt idx="46">
                  <c:v>33970</c:v>
                </c:pt>
                <c:pt idx="47">
                  <c:v>34335</c:v>
                </c:pt>
                <c:pt idx="48">
                  <c:v>34700</c:v>
                </c:pt>
                <c:pt idx="49">
                  <c:v>35065</c:v>
                </c:pt>
                <c:pt idx="50">
                  <c:v>35431</c:v>
                </c:pt>
                <c:pt idx="51">
                  <c:v>35796</c:v>
                </c:pt>
                <c:pt idx="52">
                  <c:v>36161</c:v>
                </c:pt>
                <c:pt idx="53">
                  <c:v>36526</c:v>
                </c:pt>
                <c:pt idx="54">
                  <c:v>36892</c:v>
                </c:pt>
                <c:pt idx="55">
                  <c:v>37257</c:v>
                </c:pt>
                <c:pt idx="56">
                  <c:v>37622</c:v>
                </c:pt>
                <c:pt idx="57">
                  <c:v>37987</c:v>
                </c:pt>
                <c:pt idx="58">
                  <c:v>38353</c:v>
                </c:pt>
                <c:pt idx="59">
                  <c:v>38718</c:v>
                </c:pt>
                <c:pt idx="60">
                  <c:v>39083</c:v>
                </c:pt>
                <c:pt idx="61">
                  <c:v>39448</c:v>
                </c:pt>
                <c:pt idx="62">
                  <c:v>39814</c:v>
                </c:pt>
                <c:pt idx="63">
                  <c:v>40179</c:v>
                </c:pt>
                <c:pt idx="64">
                  <c:v>40544</c:v>
                </c:pt>
                <c:pt idx="65">
                  <c:v>40909</c:v>
                </c:pt>
                <c:pt idx="66">
                  <c:v>41275</c:v>
                </c:pt>
              </c:numCache>
            </c:numRef>
          </c:cat>
          <c:val>
            <c:numRef>
              <c:f>'Page 490'!$C$3:$C$69</c:f>
              <c:numCache>
                <c:formatCode>#,##0.0000</c:formatCode>
                <c:ptCount val="67"/>
                <c:pt idx="0">
                  <c:v>10.420786315600932</c:v>
                </c:pt>
                <c:pt idx="1">
                  <c:v>9.6783946766479509</c:v>
                </c:pt>
                <c:pt idx="2">
                  <c:v>9.7743290352387753</c:v>
                </c:pt>
                <c:pt idx="3">
                  <c:v>9.6711548850932978</c:v>
                </c:pt>
                <c:pt idx="4">
                  <c:v>8.9599584183575267</c:v>
                </c:pt>
                <c:pt idx="5">
                  <c:v>8.7596266044340734</c:v>
                </c:pt>
                <c:pt idx="6">
                  <c:v>8.6938508667065157</c:v>
                </c:pt>
                <c:pt idx="7">
                  <c:v>8.6624604504001503</c:v>
                </c:pt>
                <c:pt idx="8">
                  <c:v>8.6847663830422466</c:v>
                </c:pt>
                <c:pt idx="9">
                  <c:v>8.5586039498363444</c:v>
                </c:pt>
                <c:pt idx="10">
                  <c:v>8.2779141322519845</c:v>
                </c:pt>
                <c:pt idx="11">
                  <c:v>8.0577888577265337</c:v>
                </c:pt>
                <c:pt idx="12">
                  <c:v>7.9834305317324192</c:v>
                </c:pt>
                <c:pt idx="13">
                  <c:v>7.8660469832685482</c:v>
                </c:pt>
                <c:pt idx="14">
                  <c:v>7.7826566784830451</c:v>
                </c:pt>
                <c:pt idx="15">
                  <c:v>7.692361088156547</c:v>
                </c:pt>
                <c:pt idx="16">
                  <c:v>7.5969379427414889</c:v>
                </c:pt>
                <c:pt idx="17">
                  <c:v>7.4978091371866746</c:v>
                </c:pt>
                <c:pt idx="18">
                  <c:v>7.3812801319462071</c:v>
                </c:pt>
                <c:pt idx="19">
                  <c:v>7.1669181731391101</c:v>
                </c:pt>
                <c:pt idx="20">
                  <c:v>6.9727940074906369</c:v>
                </c:pt>
                <c:pt idx="21">
                  <c:v>6.6888077719015868</c:v>
                </c:pt>
                <c:pt idx="22">
                  <c:v>6.3440013085080285</c:v>
                </c:pt>
                <c:pt idx="23">
                  <c:v>5.9913753153802594</c:v>
                </c:pt>
                <c:pt idx="24">
                  <c:v>5.7485117209692964</c:v>
                </c:pt>
                <c:pt idx="25">
                  <c:v>5.5663270187523919</c:v>
                </c:pt>
                <c:pt idx="26">
                  <c:v>5.2384243106359039</c:v>
                </c:pt>
                <c:pt idx="27">
                  <c:v>4.7187987914917775</c:v>
                </c:pt>
                <c:pt idx="28">
                  <c:v>4.3235856943799353</c:v>
                </c:pt>
                <c:pt idx="29">
                  <c:v>4.0875590606502383</c:v>
                </c:pt>
                <c:pt idx="30">
                  <c:v>3.8391375356748112</c:v>
                </c:pt>
                <c:pt idx="31">
                  <c:v>3.5669813923546183</c:v>
                </c:pt>
                <c:pt idx="32">
                  <c:v>3.2062190871140626</c:v>
                </c:pt>
                <c:pt idx="33">
                  <c:v>2.8248182270614084</c:v>
                </c:pt>
                <c:pt idx="34">
                  <c:v>2.559213926737268</c:v>
                </c:pt>
                <c:pt idx="35">
                  <c:v>2.4107507277304134</c:v>
                </c:pt>
                <c:pt idx="36">
                  <c:v>2.3369149352801184</c:v>
                </c:pt>
                <c:pt idx="37">
                  <c:v>2.2391059624950689</c:v>
                </c:pt>
                <c:pt idx="38">
                  <c:v>2.1627973977695172</c:v>
                </c:pt>
                <c:pt idx="39">
                  <c:v>2.1215494293111625</c:v>
                </c:pt>
                <c:pt idx="40">
                  <c:v>2.0482586232694051</c:v>
                </c:pt>
                <c:pt idx="41">
                  <c:v>1.9675924751638132</c:v>
                </c:pt>
                <c:pt idx="42">
                  <c:v>1.8776282454696553</c:v>
                </c:pt>
                <c:pt idx="43">
                  <c:v>1.7811155841969113</c:v>
                </c:pt>
                <c:pt idx="44">
                  <c:v>1.7090557917850875</c:v>
                </c:pt>
                <c:pt idx="45">
                  <c:v>1.6586153319839212</c:v>
                </c:pt>
                <c:pt idx="46">
                  <c:v>1.61077695102959</c:v>
                </c:pt>
                <c:pt idx="47">
                  <c:v>1.5700252993759489</c:v>
                </c:pt>
                <c:pt idx="48">
                  <c:v>1.5271847909543714</c:v>
                </c:pt>
                <c:pt idx="49">
                  <c:v>1.48361575437657</c:v>
                </c:pt>
                <c:pt idx="50">
                  <c:v>1.4497243420028034</c:v>
                </c:pt>
                <c:pt idx="51">
                  <c:v>1.4276415881429132</c:v>
                </c:pt>
                <c:pt idx="52">
                  <c:v>1.3970032956544187</c:v>
                </c:pt>
                <c:pt idx="53">
                  <c:v>1.3514971659542836</c:v>
                </c:pt>
                <c:pt idx="54">
                  <c:v>1.3144734017916653</c:v>
                </c:pt>
                <c:pt idx="55">
                  <c:v>1.2938282175162761</c:v>
                </c:pt>
                <c:pt idx="56">
                  <c:v>1.2647663043478261</c:v>
                </c:pt>
                <c:pt idx="57">
                  <c:v>1.2319065365151292</c:v>
                </c:pt>
                <c:pt idx="58">
                  <c:v>1.1917886790906811</c:v>
                </c:pt>
                <c:pt idx="59">
                  <c:v>1.1545907381498131</c:v>
                </c:pt>
                <c:pt idx="60">
                  <c:v>1.1223715178640328</c:v>
                </c:pt>
                <c:pt idx="61">
                  <c:v>1.0811274122664389</c:v>
                </c:pt>
                <c:pt idx="62">
                  <c:v>1.084588962888049</c:v>
                </c:pt>
                <c:pt idx="63">
                  <c:v>1.067093105899076</c:v>
                </c:pt>
                <c:pt idx="64">
                  <c:v>1.0345966612576967</c:v>
                </c:pt>
                <c:pt idx="65">
                  <c:v>1.0135581261650495</c:v>
                </c:pt>
                <c:pt idx="66">
                  <c:v>1</c:v>
                </c:pt>
              </c:numCache>
            </c:numRef>
          </c:val>
          <c:smooth val="0"/>
          <c:extLst xmlns:c16r2="http://schemas.microsoft.com/office/drawing/2015/06/chart">
            <c:ext xmlns:c16="http://schemas.microsoft.com/office/drawing/2014/chart" uri="{C3380CC4-5D6E-409C-BE32-E72D297353CC}">
              <c16:uniqueId val="{00000000-87C0-4625-AB1D-21167857AE5C}"/>
            </c:ext>
          </c:extLst>
        </c:ser>
        <c:dLbls>
          <c:showLegendKey val="0"/>
          <c:showVal val="0"/>
          <c:showCatName val="0"/>
          <c:showSerName val="0"/>
          <c:showPercent val="0"/>
          <c:showBubbleSize val="0"/>
        </c:dLbls>
        <c:marker val="1"/>
        <c:smooth val="0"/>
        <c:axId val="247428608"/>
        <c:axId val="247430528"/>
      </c:lineChart>
      <c:dateAx>
        <c:axId val="247428608"/>
        <c:scaling>
          <c:orientation val="minMax"/>
        </c:scaling>
        <c:delete val="0"/>
        <c:axPos val="b"/>
        <c:numFmt formatCode="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7430528"/>
        <c:crosses val="autoZero"/>
        <c:auto val="1"/>
        <c:lblOffset val="100"/>
        <c:baseTimeUnit val="years"/>
      </c:dateAx>
      <c:valAx>
        <c:axId val="247430528"/>
        <c:scaling>
          <c:orientation val="minMax"/>
        </c:scaling>
        <c:delete val="0"/>
        <c:axPos val="l"/>
        <c:majorGridlines>
          <c:spPr>
            <a:ln w="9525" cap="flat" cmpd="sng" algn="ctr">
              <a:solidFill>
                <a:schemeClr val="tx1">
                  <a:lumMod val="15000"/>
                  <a:lumOff val="85000"/>
                </a:schemeClr>
              </a:solidFill>
              <a:round/>
            </a:ln>
            <a:effectLst/>
          </c:spPr>
        </c:majorGridlines>
        <c:numFmt formatCode="#,##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742860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'Page 491'!$C$2</c:f>
              <c:strCache>
                <c:ptCount val="1"/>
                <c:pt idx="0">
                  <c:v>Annual inflation rate</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'Page 491'!$A$3:$A$69</c:f>
              <c:numCache>
                <c:formatCode>d\-mmm\-yy</c:formatCode>
                <c:ptCount val="67"/>
                <c:pt idx="0">
                  <c:v>17168</c:v>
                </c:pt>
                <c:pt idx="1">
                  <c:v>17533</c:v>
                </c:pt>
                <c:pt idx="2">
                  <c:v>17899</c:v>
                </c:pt>
                <c:pt idx="3">
                  <c:v>18264</c:v>
                </c:pt>
                <c:pt idx="4">
                  <c:v>18629</c:v>
                </c:pt>
                <c:pt idx="5">
                  <c:v>18994</c:v>
                </c:pt>
                <c:pt idx="6">
                  <c:v>19360</c:v>
                </c:pt>
                <c:pt idx="7">
                  <c:v>19725</c:v>
                </c:pt>
                <c:pt idx="8">
                  <c:v>20090</c:v>
                </c:pt>
                <c:pt idx="9">
                  <c:v>20455</c:v>
                </c:pt>
                <c:pt idx="10">
                  <c:v>20821</c:v>
                </c:pt>
                <c:pt idx="11">
                  <c:v>21186</c:v>
                </c:pt>
                <c:pt idx="12">
                  <c:v>21551</c:v>
                </c:pt>
                <c:pt idx="13">
                  <c:v>21916</c:v>
                </c:pt>
                <c:pt idx="14">
                  <c:v>22282</c:v>
                </c:pt>
                <c:pt idx="15">
                  <c:v>22647</c:v>
                </c:pt>
                <c:pt idx="16">
                  <c:v>23012</c:v>
                </c:pt>
                <c:pt idx="17">
                  <c:v>23377</c:v>
                </c:pt>
                <c:pt idx="18">
                  <c:v>23743</c:v>
                </c:pt>
                <c:pt idx="19">
                  <c:v>24108</c:v>
                </c:pt>
                <c:pt idx="20">
                  <c:v>24473</c:v>
                </c:pt>
                <c:pt idx="21">
                  <c:v>24838</c:v>
                </c:pt>
                <c:pt idx="22">
                  <c:v>25204</c:v>
                </c:pt>
                <c:pt idx="23">
                  <c:v>25569</c:v>
                </c:pt>
                <c:pt idx="24">
                  <c:v>25934</c:v>
                </c:pt>
                <c:pt idx="25">
                  <c:v>26299</c:v>
                </c:pt>
                <c:pt idx="26">
                  <c:v>26665</c:v>
                </c:pt>
                <c:pt idx="27">
                  <c:v>27030</c:v>
                </c:pt>
                <c:pt idx="28">
                  <c:v>27395</c:v>
                </c:pt>
                <c:pt idx="29">
                  <c:v>27760</c:v>
                </c:pt>
                <c:pt idx="30">
                  <c:v>28126</c:v>
                </c:pt>
                <c:pt idx="31">
                  <c:v>28491</c:v>
                </c:pt>
                <c:pt idx="32">
                  <c:v>28856</c:v>
                </c:pt>
                <c:pt idx="33">
                  <c:v>29221</c:v>
                </c:pt>
                <c:pt idx="34">
                  <c:v>29587</c:v>
                </c:pt>
                <c:pt idx="35">
                  <c:v>29952</c:v>
                </c:pt>
                <c:pt idx="36">
                  <c:v>30317</c:v>
                </c:pt>
                <c:pt idx="37">
                  <c:v>30682</c:v>
                </c:pt>
                <c:pt idx="38">
                  <c:v>31048</c:v>
                </c:pt>
                <c:pt idx="39">
                  <c:v>31413</c:v>
                </c:pt>
                <c:pt idx="40">
                  <c:v>31778</c:v>
                </c:pt>
                <c:pt idx="41">
                  <c:v>32143</c:v>
                </c:pt>
                <c:pt idx="42">
                  <c:v>32509</c:v>
                </c:pt>
                <c:pt idx="43">
                  <c:v>32874</c:v>
                </c:pt>
                <c:pt idx="44">
                  <c:v>33239</c:v>
                </c:pt>
                <c:pt idx="45">
                  <c:v>33604</c:v>
                </c:pt>
                <c:pt idx="46">
                  <c:v>33970</c:v>
                </c:pt>
                <c:pt idx="47">
                  <c:v>34335</c:v>
                </c:pt>
                <c:pt idx="48">
                  <c:v>34700</c:v>
                </c:pt>
                <c:pt idx="49">
                  <c:v>35065</c:v>
                </c:pt>
                <c:pt idx="50">
                  <c:v>35431</c:v>
                </c:pt>
                <c:pt idx="51">
                  <c:v>35796</c:v>
                </c:pt>
                <c:pt idx="52">
                  <c:v>36161</c:v>
                </c:pt>
                <c:pt idx="53">
                  <c:v>36526</c:v>
                </c:pt>
                <c:pt idx="54">
                  <c:v>36892</c:v>
                </c:pt>
                <c:pt idx="55">
                  <c:v>37257</c:v>
                </c:pt>
                <c:pt idx="56">
                  <c:v>37622</c:v>
                </c:pt>
                <c:pt idx="57">
                  <c:v>37987</c:v>
                </c:pt>
                <c:pt idx="58">
                  <c:v>38353</c:v>
                </c:pt>
                <c:pt idx="59">
                  <c:v>38718</c:v>
                </c:pt>
                <c:pt idx="60">
                  <c:v>39083</c:v>
                </c:pt>
                <c:pt idx="61">
                  <c:v>39448</c:v>
                </c:pt>
                <c:pt idx="62">
                  <c:v>39814</c:v>
                </c:pt>
                <c:pt idx="63">
                  <c:v>40179</c:v>
                </c:pt>
                <c:pt idx="64">
                  <c:v>40544</c:v>
                </c:pt>
                <c:pt idx="65">
                  <c:v>40909</c:v>
                </c:pt>
                <c:pt idx="66">
                  <c:v>41275</c:v>
                </c:pt>
              </c:numCache>
            </c:numRef>
          </c:cat>
          <c:val>
            <c:numRef>
              <c:f>'Page 491'!$C$3:$C$69</c:f>
              <c:numCache>
                <c:formatCode>0.00%</c:formatCode>
                <c:ptCount val="67"/>
                <c:pt idx="1">
                  <c:v>7.6706072004298909E-2</c:v>
                </c:pt>
                <c:pt idx="2">
                  <c:v>-9.8149303389478693E-3</c:v>
                </c:pt>
                <c:pt idx="3">
                  <c:v>1.0668234701163293E-2</c:v>
                </c:pt>
                <c:pt idx="4">
                  <c:v>7.9374974026513723E-2</c:v>
                </c:pt>
                <c:pt idx="5">
                  <c:v>2.2869903361182775E-2</c:v>
                </c:pt>
                <c:pt idx="6">
                  <c:v>7.5657770918808875E-3</c:v>
                </c:pt>
                <c:pt idx="7">
                  <c:v>3.6237298266585949E-3</c:v>
                </c:pt>
                <c:pt idx="8">
                  <c:v>-2.568397543271872E-3</c:v>
                </c:pt>
                <c:pt idx="9">
                  <c:v>1.4741006120316369E-2</c:v>
                </c:pt>
                <c:pt idx="10">
                  <c:v>3.390827847449529E-2</c:v>
                </c:pt>
                <c:pt idx="11">
                  <c:v>2.7318322484259916E-2</c:v>
                </c:pt>
                <c:pt idx="12">
                  <c:v>9.3140819223711535E-3</c:v>
                </c:pt>
                <c:pt idx="13">
                  <c:v>1.492281303602061E-2</c:v>
                </c:pt>
                <c:pt idx="14">
                  <c:v>1.0714889302011255E-2</c:v>
                </c:pt>
                <c:pt idx="15">
                  <c:v>1.1738345261186556E-2</c:v>
                </c:pt>
                <c:pt idx="16">
                  <c:v>1.2560737778071651E-2</c:v>
                </c:pt>
                <c:pt idx="17">
                  <c:v>1.322103613749892E-2</c:v>
                </c:pt>
                <c:pt idx="18">
                  <c:v>1.5787099684257955E-2</c:v>
                </c:pt>
                <c:pt idx="19">
                  <c:v>2.9909921339761336E-2</c:v>
                </c:pt>
                <c:pt idx="20">
                  <c:v>2.7840226663792489E-2</c:v>
                </c:pt>
                <c:pt idx="21">
                  <c:v>4.2456928838951358E-2</c:v>
                </c:pt>
                <c:pt idx="22">
                  <c:v>5.4351575074729874E-2</c:v>
                </c:pt>
                <c:pt idx="23">
                  <c:v>5.8855600686966714E-2</c:v>
                </c:pt>
                <c:pt idx="24">
                  <c:v>4.2248081973121909E-2</c:v>
                </c:pt>
                <c:pt idx="25">
                  <c:v>3.2729787812168176E-2</c:v>
                </c:pt>
                <c:pt idx="26">
                  <c:v>6.2595675468809731E-2</c:v>
                </c:pt>
                <c:pt idx="27">
                  <c:v>0.11011817670230739</c:v>
                </c:pt>
                <c:pt idx="28">
                  <c:v>9.1408642050408551E-2</c:v>
                </c:pt>
                <c:pt idx="29">
                  <c:v>5.7742684626103102E-2</c:v>
                </c:pt>
                <c:pt idx="30">
                  <c:v>6.470763880350594E-2</c:v>
                </c:pt>
                <c:pt idx="31">
                  <c:v>7.6298728079581712E-2</c:v>
                </c:pt>
                <c:pt idx="32">
                  <c:v>0.11251954262591579</c:v>
                </c:pt>
                <c:pt idx="33">
                  <c:v>0.13501784164336006</c:v>
                </c:pt>
                <c:pt idx="34">
                  <c:v>0.10378354757656316</c:v>
                </c:pt>
                <c:pt idx="35">
                  <c:v>6.1583803459690056E-2</c:v>
                </c:pt>
                <c:pt idx="36">
                  <c:v>3.1595412967586167E-2</c:v>
                </c:pt>
                <c:pt idx="37">
                  <c:v>4.3682154584617994E-2</c:v>
                </c:pt>
                <c:pt idx="38">
                  <c:v>3.5282345357104949E-2</c:v>
                </c:pt>
                <c:pt idx="39">
                  <c:v>1.9442379182156078E-2</c:v>
                </c:pt>
                <c:pt idx="40">
                  <c:v>3.5782007803668581E-2</c:v>
                </c:pt>
                <c:pt idx="41">
                  <c:v>4.0997385954566701E-2</c:v>
                </c:pt>
                <c:pt idx="42">
                  <c:v>4.791376030437533E-2</c:v>
                </c:pt>
                <c:pt idx="43">
                  <c:v>5.4186635684432938E-2</c:v>
                </c:pt>
                <c:pt idx="44">
                  <c:v>4.2163510845107277E-2</c:v>
                </c:pt>
                <c:pt idx="45">
                  <c:v>3.0411186263925805E-2</c:v>
                </c:pt>
                <c:pt idx="46">
                  <c:v>2.9698948028622718E-2</c:v>
                </c:pt>
                <c:pt idx="47">
                  <c:v>2.5956047759127854E-2</c:v>
                </c:pt>
                <c:pt idx="48">
                  <c:v>2.8051948051948106E-2</c:v>
                </c:pt>
                <c:pt idx="49">
                  <c:v>2.9366792883720683E-2</c:v>
                </c:pt>
                <c:pt idx="50">
                  <c:v>2.3377832179423352E-2</c:v>
                </c:pt>
                <c:pt idx="51">
                  <c:v>1.5467995639308452E-2</c:v>
                </c:pt>
                <c:pt idx="52">
                  <c:v>2.1931438947781601E-2</c:v>
                </c:pt>
                <c:pt idx="53">
                  <c:v>3.3670902793202284E-2</c:v>
                </c:pt>
                <c:pt idx="54">
                  <c:v>2.8166233042185462E-2</c:v>
                </c:pt>
                <c:pt idx="55">
                  <c:v>1.595666564995879E-2</c:v>
                </c:pt>
                <c:pt idx="56">
                  <c:v>2.2978089366031629E-2</c:v>
                </c:pt>
                <c:pt idx="57">
                  <c:v>2.6673913043478104E-2</c:v>
                </c:pt>
                <c:pt idx="58">
                  <c:v>3.3661888326592893E-2</c:v>
                </c:pt>
                <c:pt idx="59">
                  <c:v>3.2217425371414476E-2</c:v>
                </c:pt>
                <c:pt idx="60">
                  <c:v>2.8706377320671939E-2</c:v>
                </c:pt>
                <c:pt idx="61">
                  <c:v>3.81491627440389E-2</c:v>
                </c:pt>
                <c:pt idx="62">
                  <c:v>-3.1915783214248039E-3</c:v>
                </c:pt>
                <c:pt idx="63">
                  <c:v>1.6395811098631308E-2</c:v>
                </c:pt>
                <c:pt idx="64">
                  <c:v>3.1409771419400601E-2</c:v>
                </c:pt>
                <c:pt idx="65">
                  <c:v>2.0757107608864844E-2</c:v>
                </c:pt>
                <c:pt idx="66">
                  <c:v>1.3558126165049478E-2</c:v>
                </c:pt>
              </c:numCache>
            </c:numRef>
          </c:val>
          <c:smooth val="0"/>
          <c:extLst xmlns:c16r2="http://schemas.microsoft.com/office/drawing/2015/06/chart">
            <c:ext xmlns:c16="http://schemas.microsoft.com/office/drawing/2014/chart" uri="{C3380CC4-5D6E-409C-BE32-E72D297353CC}">
              <c16:uniqueId val="{00000000-BFAC-48C1-B174-6627560C3D7C}"/>
            </c:ext>
          </c:extLst>
        </c:ser>
        <c:dLbls>
          <c:showLegendKey val="0"/>
          <c:showVal val="0"/>
          <c:showCatName val="0"/>
          <c:showSerName val="0"/>
          <c:showPercent val="0"/>
          <c:showBubbleSize val="0"/>
        </c:dLbls>
        <c:marker val="1"/>
        <c:smooth val="0"/>
        <c:axId val="248221056"/>
        <c:axId val="248223232"/>
      </c:lineChart>
      <c:dateAx>
        <c:axId val="248221056"/>
        <c:scaling>
          <c:orientation val="minMax"/>
        </c:scaling>
        <c:delete val="0"/>
        <c:axPos val="b"/>
        <c:numFmt formatCode="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8223232"/>
        <c:crosses val="autoZero"/>
        <c:auto val="1"/>
        <c:lblOffset val="100"/>
        <c:baseTimeUnit val="years"/>
      </c:dateAx>
      <c:valAx>
        <c:axId val="24822323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822105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US"/>
              <a:t>TIPS Versus Bank CD</a:t>
            </a:r>
          </a:p>
        </c:rich>
      </c:tx>
      <c:layout>
        <c:manualLayout>
          <c:xMode val="edge"/>
          <c:yMode val="edge"/>
          <c:x val="0.31856605717229053"/>
          <c:y val="3.8461604126154382E-2"/>
        </c:manualLayout>
      </c:layout>
      <c:overlay val="0"/>
      <c:spPr>
        <a:noFill/>
        <a:ln w="25400">
          <a:noFill/>
        </a:ln>
      </c:spPr>
    </c:title>
    <c:autoTitleDeleted val="0"/>
    <c:plotArea>
      <c:layout>
        <c:manualLayout>
          <c:layoutTarget val="inner"/>
          <c:xMode val="edge"/>
          <c:yMode val="edge"/>
          <c:x val="0.18002857237781983"/>
          <c:y val="8.7412736650350334E-2"/>
          <c:w val="0.6638550560926727"/>
          <c:h val="0.70979131105115389"/>
        </c:manualLayout>
      </c:layout>
      <c:scatterChart>
        <c:scatterStyle val="smoothMarker"/>
        <c:varyColors val="0"/>
        <c:ser>
          <c:idx val="0"/>
          <c:order val="0"/>
          <c:tx>
            <c:strRef>
              <c:f>'Page 498'!$B$10</c:f>
              <c:strCache>
                <c:ptCount val="1"/>
                <c:pt idx="0">
                  <c:v>CD payment
in 5 years</c:v>
                </c:pt>
              </c:strCache>
            </c:strRef>
          </c:tx>
          <c:spPr>
            <a:ln w="12700">
              <a:solidFill>
                <a:srgbClr val="000080"/>
              </a:solidFill>
              <a:prstDash val="solid"/>
            </a:ln>
          </c:spPr>
          <c:marker>
            <c:symbol val="diamond"/>
            <c:size val="5"/>
            <c:spPr>
              <a:solidFill>
                <a:srgbClr val="000080"/>
              </a:solidFill>
              <a:ln>
                <a:solidFill>
                  <a:srgbClr val="000080"/>
                </a:solidFill>
                <a:prstDash val="solid"/>
              </a:ln>
            </c:spPr>
          </c:marker>
          <c:xVal>
            <c:numRef>
              <c:f>'Page 498'!$A$11:$A$19</c:f>
              <c:numCache>
                <c:formatCode>0%</c:formatCode>
                <c:ptCount val="9"/>
                <c:pt idx="0">
                  <c:v>0</c:v>
                </c:pt>
                <c:pt idx="1">
                  <c:v>0.01</c:v>
                </c:pt>
                <c:pt idx="2">
                  <c:v>0.02</c:v>
                </c:pt>
                <c:pt idx="3">
                  <c:v>0.03</c:v>
                </c:pt>
                <c:pt idx="4" formatCode="0.0000%">
                  <c:v>4.3478000000000003E-2</c:v>
                </c:pt>
                <c:pt idx="5">
                  <c:v>0.05</c:v>
                </c:pt>
                <c:pt idx="6">
                  <c:v>0.06</c:v>
                </c:pt>
                <c:pt idx="7">
                  <c:v>7.0000000000000007E-2</c:v>
                </c:pt>
                <c:pt idx="8">
                  <c:v>0.08</c:v>
                </c:pt>
              </c:numCache>
            </c:numRef>
          </c:xVal>
          <c:yVal>
            <c:numRef>
              <c:f>'Page 498'!$B$11:$B$19</c:f>
              <c:numCache>
                <c:formatCode>#,##0.00</c:formatCode>
                <c:ptCount val="9"/>
                <c:pt idx="0">
                  <c:v>1469.3280768000004</c:v>
                </c:pt>
                <c:pt idx="1">
                  <c:v>1469.3280768000004</c:v>
                </c:pt>
                <c:pt idx="2">
                  <c:v>1469.3280768000004</c:v>
                </c:pt>
                <c:pt idx="3">
                  <c:v>1469.3280768000004</c:v>
                </c:pt>
                <c:pt idx="4">
                  <c:v>1469.3280768000004</c:v>
                </c:pt>
                <c:pt idx="5">
                  <c:v>1469.3280768000004</c:v>
                </c:pt>
                <c:pt idx="6">
                  <c:v>1469.3280768000004</c:v>
                </c:pt>
                <c:pt idx="7">
                  <c:v>1469.3280768000004</c:v>
                </c:pt>
                <c:pt idx="8">
                  <c:v>1469.3280768000004</c:v>
                </c:pt>
              </c:numCache>
            </c:numRef>
          </c:yVal>
          <c:smooth val="1"/>
          <c:extLst xmlns:c16r2="http://schemas.microsoft.com/office/drawing/2015/06/chart">
            <c:ext xmlns:c16="http://schemas.microsoft.com/office/drawing/2014/chart" uri="{C3380CC4-5D6E-409C-BE32-E72D297353CC}">
              <c16:uniqueId val="{00000000-A128-4DB3-B408-49840F1C11B1}"/>
            </c:ext>
          </c:extLst>
        </c:ser>
        <c:ser>
          <c:idx val="1"/>
          <c:order val="1"/>
          <c:tx>
            <c:strRef>
              <c:f>'Page 498'!$C$10</c:f>
              <c:strCache>
                <c:ptCount val="1"/>
                <c:pt idx="0">
                  <c:v>TIPS payment in 5 years</c:v>
                </c:pt>
              </c:strCache>
            </c:strRef>
          </c:tx>
          <c:spPr>
            <a:ln w="12700">
              <a:solidFill>
                <a:srgbClr val="FF00FF"/>
              </a:solidFill>
              <a:prstDash val="solid"/>
            </a:ln>
          </c:spPr>
          <c:marker>
            <c:symbol val="square"/>
            <c:size val="5"/>
            <c:spPr>
              <a:solidFill>
                <a:srgbClr val="FF00FF"/>
              </a:solidFill>
              <a:ln>
                <a:solidFill>
                  <a:srgbClr val="FF00FF"/>
                </a:solidFill>
                <a:prstDash val="solid"/>
              </a:ln>
            </c:spPr>
          </c:marker>
          <c:xVal>
            <c:numRef>
              <c:f>'Page 498'!$A$11:$A$19</c:f>
              <c:numCache>
                <c:formatCode>0%</c:formatCode>
                <c:ptCount val="9"/>
                <c:pt idx="0">
                  <c:v>0</c:v>
                </c:pt>
                <c:pt idx="1">
                  <c:v>0.01</c:v>
                </c:pt>
                <c:pt idx="2">
                  <c:v>0.02</c:v>
                </c:pt>
                <c:pt idx="3">
                  <c:v>0.03</c:v>
                </c:pt>
                <c:pt idx="4" formatCode="0.0000%">
                  <c:v>4.3478000000000003E-2</c:v>
                </c:pt>
                <c:pt idx="5">
                  <c:v>0.05</c:v>
                </c:pt>
                <c:pt idx="6">
                  <c:v>0.06</c:v>
                </c:pt>
                <c:pt idx="7">
                  <c:v>7.0000000000000007E-2</c:v>
                </c:pt>
                <c:pt idx="8">
                  <c:v>0.08</c:v>
                </c:pt>
              </c:numCache>
            </c:numRef>
          </c:xVal>
          <c:yVal>
            <c:numRef>
              <c:f>'Page 498'!$C$11:$C$19</c:f>
              <c:numCache>
                <c:formatCode>#,##0.00</c:formatCode>
                <c:ptCount val="9"/>
                <c:pt idx="0">
                  <c:v>1187.6863056468744</c:v>
                </c:pt>
                <c:pt idx="1">
                  <c:v>1248.2702436010054</c:v>
                </c:pt>
                <c:pt idx="2">
                  <c:v>1311.3016502882417</c:v>
                </c:pt>
                <c:pt idx="3">
                  <c:v>1376.853942537567</c:v>
                </c:pt>
                <c:pt idx="4">
                  <c:v>1469.3262401408208</c:v>
                </c:pt>
                <c:pt idx="5">
                  <c:v>1515.8221339308457</c:v>
                </c:pt>
                <c:pt idx="6">
                  <c:v>1589.3921923818993</c:v>
                </c:pt>
                <c:pt idx="7">
                  <c:v>1665.791483513713</c:v>
                </c:pt>
                <c:pt idx="8">
                  <c:v>1745.1008353178192</c:v>
                </c:pt>
              </c:numCache>
            </c:numRef>
          </c:yVal>
          <c:smooth val="1"/>
          <c:extLst xmlns:c16r2="http://schemas.microsoft.com/office/drawing/2015/06/chart">
            <c:ext xmlns:c16="http://schemas.microsoft.com/office/drawing/2014/chart" uri="{C3380CC4-5D6E-409C-BE32-E72D297353CC}">
              <c16:uniqueId val="{00000001-A128-4DB3-B408-49840F1C11B1}"/>
            </c:ext>
          </c:extLst>
        </c:ser>
        <c:dLbls>
          <c:showLegendKey val="0"/>
          <c:showVal val="0"/>
          <c:showCatName val="0"/>
          <c:showSerName val="0"/>
          <c:showPercent val="0"/>
          <c:showBubbleSize val="0"/>
        </c:dLbls>
        <c:axId val="249401344"/>
        <c:axId val="249403648"/>
      </c:scatterChart>
      <c:valAx>
        <c:axId val="249401344"/>
        <c:scaling>
          <c:orientation val="minMax"/>
          <c:max val="8.0000000000000043E-2"/>
          <c:min val="0"/>
        </c:scaling>
        <c:delete val="0"/>
        <c:axPos val="b"/>
        <c:title>
          <c:tx>
            <c:rich>
              <a:bodyPr/>
              <a:lstStyle/>
              <a:p>
                <a:pPr>
                  <a:defRPr sz="1200" b="1" i="0" u="none" strike="noStrike" baseline="0">
                    <a:solidFill>
                      <a:srgbClr val="000000"/>
                    </a:solidFill>
                    <a:latin typeface="Arial"/>
                    <a:ea typeface="Arial"/>
                    <a:cs typeface="Arial"/>
                  </a:defRPr>
                </a:pPr>
                <a:r>
                  <a:rPr lang="en-US"/>
                  <a:t>Anticipated inflation rate</a:t>
                </a:r>
              </a:p>
            </c:rich>
          </c:tx>
          <c:layout>
            <c:manualLayout>
              <c:xMode val="edge"/>
              <c:yMode val="edge"/>
              <c:x val="0.32700489312387543"/>
              <c:y val="0.88461689490154949"/>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249403648"/>
        <c:crosses val="autoZero"/>
        <c:crossBetween val="midCat"/>
        <c:majorUnit val="1.0000000000000005E-2"/>
      </c:valAx>
      <c:valAx>
        <c:axId val="249403648"/>
        <c:scaling>
          <c:orientation val="minMax"/>
          <c:max val="1800"/>
          <c:min val="1100"/>
        </c:scaling>
        <c:delete val="0"/>
        <c:axPos val="l"/>
        <c:title>
          <c:tx>
            <c:rich>
              <a:bodyPr/>
              <a:lstStyle/>
              <a:p>
                <a:pPr>
                  <a:defRPr sz="1200" b="1" i="0" u="none" strike="noStrike" baseline="0">
                    <a:solidFill>
                      <a:srgbClr val="000000"/>
                    </a:solidFill>
                    <a:latin typeface="Arial"/>
                    <a:ea typeface="Arial"/>
                    <a:cs typeface="Arial"/>
                  </a:defRPr>
                </a:pPr>
                <a:r>
                  <a:rPr lang="en-US"/>
                  <a:t>Payment in 5 years</a:t>
                </a:r>
              </a:p>
            </c:rich>
          </c:tx>
          <c:layout>
            <c:manualLayout>
              <c:xMode val="edge"/>
              <c:yMode val="edge"/>
              <c:x val="1.0548544939479784E-2"/>
              <c:y val="0.16433594490265938"/>
            </c:manualLayout>
          </c:layout>
          <c:overlay val="0"/>
          <c:spPr>
            <a:noFill/>
            <a:ln w="25400">
              <a:noFill/>
            </a:ln>
          </c:spPr>
        </c:title>
        <c:numFmt formatCode="_(* #,##0_);_(* \(#,##0\);_(* &quot;-&quot;??_);_(@_)" sourceLinked="0"/>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249401344"/>
        <c:crosses val="autoZero"/>
        <c:crossBetween val="midCat"/>
        <c:majorUnit val="100"/>
      </c:valAx>
      <c:spPr>
        <a:noFill/>
        <a:ln w="25400">
          <a:noFill/>
        </a:ln>
      </c:spPr>
    </c:plotArea>
    <c:legend>
      <c:legendPos val="r"/>
      <c:layout>
        <c:manualLayout>
          <c:xMode val="edge"/>
          <c:yMode val="edge"/>
          <c:x val="0.61603502446561964"/>
          <c:y val="0.46503575897986632"/>
          <c:w val="0.36286461724164365"/>
          <c:h val="0.26223820995105235"/>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0155" r="0.7500000000000015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75" b="1" i="0" u="none" strike="noStrike" baseline="0">
                <a:solidFill>
                  <a:srgbClr val="000000"/>
                </a:solidFill>
                <a:latin typeface="Arial"/>
                <a:ea typeface="Arial"/>
                <a:cs typeface="Arial"/>
              </a:defRPr>
            </a:pPr>
            <a:r>
              <a:rPr lang="en-US"/>
              <a:t>TIPS Versus Bank CD,
Real Returns</a:t>
            </a:r>
          </a:p>
        </c:rich>
      </c:tx>
      <c:layout>
        <c:manualLayout>
          <c:xMode val="edge"/>
          <c:yMode val="edge"/>
          <c:x val="0.31512605042016806"/>
          <c:y val="3.5587188612099654E-2"/>
        </c:manualLayout>
      </c:layout>
      <c:overlay val="0"/>
      <c:spPr>
        <a:noFill/>
        <a:ln w="25400">
          <a:noFill/>
        </a:ln>
      </c:spPr>
    </c:title>
    <c:autoTitleDeleted val="0"/>
    <c:plotArea>
      <c:layout>
        <c:manualLayout>
          <c:layoutTarget val="inner"/>
          <c:xMode val="edge"/>
          <c:yMode val="edge"/>
          <c:x val="0.1533613445378158"/>
          <c:y val="8.8967971530249573E-2"/>
          <c:w val="0.69117647058823561"/>
          <c:h val="0.6761565836298955"/>
        </c:manualLayout>
      </c:layout>
      <c:scatterChart>
        <c:scatterStyle val="smoothMarker"/>
        <c:varyColors val="0"/>
        <c:ser>
          <c:idx val="0"/>
          <c:order val="0"/>
          <c:tx>
            <c:strRef>
              <c:f>'Page 499'!$B$16</c:f>
              <c:strCache>
                <c:ptCount val="1"/>
                <c:pt idx="0">
                  <c:v>CD real return</c:v>
                </c:pt>
              </c:strCache>
            </c:strRef>
          </c:tx>
          <c:spPr>
            <a:ln w="12700">
              <a:solidFill>
                <a:srgbClr val="000080"/>
              </a:solidFill>
              <a:prstDash val="solid"/>
            </a:ln>
          </c:spPr>
          <c:marker>
            <c:symbol val="diamond"/>
            <c:size val="5"/>
            <c:spPr>
              <a:solidFill>
                <a:srgbClr val="000080"/>
              </a:solidFill>
              <a:ln>
                <a:solidFill>
                  <a:srgbClr val="000080"/>
                </a:solidFill>
                <a:prstDash val="solid"/>
              </a:ln>
            </c:spPr>
          </c:marker>
          <c:xVal>
            <c:numRef>
              <c:f>'Page 499'!$A$17:$A$25</c:f>
              <c:numCache>
                <c:formatCode>0%</c:formatCode>
                <c:ptCount val="9"/>
                <c:pt idx="0">
                  <c:v>0</c:v>
                </c:pt>
                <c:pt idx="1">
                  <c:v>0.01</c:v>
                </c:pt>
                <c:pt idx="2">
                  <c:v>0.02</c:v>
                </c:pt>
                <c:pt idx="3">
                  <c:v>0.03</c:v>
                </c:pt>
                <c:pt idx="4" formatCode="0.0000%">
                  <c:v>4.3478000000000003E-2</c:v>
                </c:pt>
                <c:pt idx="5">
                  <c:v>0.05</c:v>
                </c:pt>
                <c:pt idx="6">
                  <c:v>0.06</c:v>
                </c:pt>
                <c:pt idx="7">
                  <c:v>7.0000000000000007E-2</c:v>
                </c:pt>
                <c:pt idx="8">
                  <c:v>0.08</c:v>
                </c:pt>
              </c:numCache>
            </c:numRef>
          </c:xVal>
          <c:yVal>
            <c:numRef>
              <c:f>'Page 499'!$B$17:$B$25</c:f>
              <c:numCache>
                <c:formatCode>0.00%</c:formatCode>
                <c:ptCount val="9"/>
                <c:pt idx="0">
                  <c:v>8.0000000000000071E-2</c:v>
                </c:pt>
                <c:pt idx="1">
                  <c:v>6.9306930693069368E-2</c:v>
                </c:pt>
                <c:pt idx="2">
                  <c:v>5.8823529411764719E-2</c:v>
                </c:pt>
                <c:pt idx="3">
                  <c:v>4.8543689320388328E-2</c:v>
                </c:pt>
                <c:pt idx="4">
                  <c:v>3.500025875006485E-2</c:v>
                </c:pt>
                <c:pt idx="5">
                  <c:v>2.8571428571428692E-2</c:v>
                </c:pt>
                <c:pt idx="6">
                  <c:v>1.8867924528301883E-2</c:v>
                </c:pt>
                <c:pt idx="7">
                  <c:v>9.3457943925234765E-3</c:v>
                </c:pt>
                <c:pt idx="8">
                  <c:v>0</c:v>
                </c:pt>
              </c:numCache>
            </c:numRef>
          </c:yVal>
          <c:smooth val="1"/>
          <c:extLst xmlns:c16r2="http://schemas.microsoft.com/office/drawing/2015/06/chart">
            <c:ext xmlns:c16="http://schemas.microsoft.com/office/drawing/2014/chart" uri="{C3380CC4-5D6E-409C-BE32-E72D297353CC}">
              <c16:uniqueId val="{00000000-3F4E-4C6D-9F5B-D814837F9A3F}"/>
            </c:ext>
          </c:extLst>
        </c:ser>
        <c:ser>
          <c:idx val="1"/>
          <c:order val="1"/>
          <c:tx>
            <c:strRef>
              <c:f>'Page 499'!$C$16</c:f>
              <c:strCache>
                <c:ptCount val="1"/>
                <c:pt idx="0">
                  <c:v>TIPS real return</c:v>
                </c:pt>
              </c:strCache>
            </c:strRef>
          </c:tx>
          <c:spPr>
            <a:ln w="12700">
              <a:solidFill>
                <a:srgbClr val="FF00FF"/>
              </a:solidFill>
              <a:prstDash val="solid"/>
            </a:ln>
          </c:spPr>
          <c:marker>
            <c:symbol val="square"/>
            <c:size val="5"/>
            <c:spPr>
              <a:solidFill>
                <a:srgbClr val="FF00FF"/>
              </a:solidFill>
              <a:ln>
                <a:solidFill>
                  <a:srgbClr val="FF00FF"/>
                </a:solidFill>
                <a:prstDash val="solid"/>
              </a:ln>
            </c:spPr>
          </c:marker>
          <c:xVal>
            <c:numRef>
              <c:f>'Page 499'!$A$17:$A$25</c:f>
              <c:numCache>
                <c:formatCode>0%</c:formatCode>
                <c:ptCount val="9"/>
                <c:pt idx="0">
                  <c:v>0</c:v>
                </c:pt>
                <c:pt idx="1">
                  <c:v>0.01</c:v>
                </c:pt>
                <c:pt idx="2">
                  <c:v>0.02</c:v>
                </c:pt>
                <c:pt idx="3">
                  <c:v>0.03</c:v>
                </c:pt>
                <c:pt idx="4" formatCode="0.0000%">
                  <c:v>4.3478000000000003E-2</c:v>
                </c:pt>
                <c:pt idx="5">
                  <c:v>0.05</c:v>
                </c:pt>
                <c:pt idx="6">
                  <c:v>0.06</c:v>
                </c:pt>
                <c:pt idx="7">
                  <c:v>7.0000000000000007E-2</c:v>
                </c:pt>
                <c:pt idx="8">
                  <c:v>0.08</c:v>
                </c:pt>
              </c:numCache>
            </c:numRef>
          </c:xVal>
          <c:yVal>
            <c:numRef>
              <c:f>'Page 499'!$C$17:$C$25</c:f>
              <c:numCache>
                <c:formatCode>0.00%</c:formatCode>
                <c:ptCount val="9"/>
                <c:pt idx="0">
                  <c:v>3.499999999999992E-2</c:v>
                </c:pt>
                <c:pt idx="1">
                  <c:v>3.499999999999992E-2</c:v>
                </c:pt>
                <c:pt idx="2">
                  <c:v>3.499999999999992E-2</c:v>
                </c:pt>
                <c:pt idx="3">
                  <c:v>3.499999999999992E-2</c:v>
                </c:pt>
                <c:pt idx="4">
                  <c:v>3.499999999999992E-2</c:v>
                </c:pt>
                <c:pt idx="5">
                  <c:v>3.499999999999992E-2</c:v>
                </c:pt>
                <c:pt idx="6">
                  <c:v>3.499999999999992E-2</c:v>
                </c:pt>
                <c:pt idx="7">
                  <c:v>3.499999999999992E-2</c:v>
                </c:pt>
                <c:pt idx="8">
                  <c:v>3.499999999999992E-2</c:v>
                </c:pt>
              </c:numCache>
            </c:numRef>
          </c:yVal>
          <c:smooth val="1"/>
          <c:extLst xmlns:c16r2="http://schemas.microsoft.com/office/drawing/2015/06/chart">
            <c:ext xmlns:c16="http://schemas.microsoft.com/office/drawing/2014/chart" uri="{C3380CC4-5D6E-409C-BE32-E72D297353CC}">
              <c16:uniqueId val="{00000001-3F4E-4C6D-9F5B-D814837F9A3F}"/>
            </c:ext>
          </c:extLst>
        </c:ser>
        <c:dLbls>
          <c:showLegendKey val="0"/>
          <c:showVal val="0"/>
          <c:showCatName val="0"/>
          <c:showSerName val="0"/>
          <c:showPercent val="0"/>
          <c:showBubbleSize val="0"/>
        </c:dLbls>
        <c:axId val="248078336"/>
        <c:axId val="248080256"/>
      </c:scatterChart>
      <c:valAx>
        <c:axId val="248078336"/>
        <c:scaling>
          <c:orientation val="minMax"/>
          <c:max val="8.0000000000000043E-2"/>
          <c:min val="0"/>
        </c:scaling>
        <c:delete val="0"/>
        <c:axPos val="b"/>
        <c:title>
          <c:tx>
            <c:rich>
              <a:bodyPr/>
              <a:lstStyle/>
              <a:p>
                <a:pPr>
                  <a:defRPr sz="1200" b="1" i="0" u="none" strike="noStrike" baseline="0">
                    <a:solidFill>
                      <a:srgbClr val="000000"/>
                    </a:solidFill>
                    <a:latin typeface="Arial"/>
                    <a:ea typeface="Arial"/>
                    <a:cs typeface="Arial"/>
                  </a:defRPr>
                </a:pPr>
                <a:r>
                  <a:rPr lang="en-US"/>
                  <a:t>Anticipated inflation rate</a:t>
                </a:r>
              </a:p>
            </c:rich>
          </c:tx>
          <c:layout>
            <c:manualLayout>
              <c:xMode val="edge"/>
              <c:yMode val="edge"/>
              <c:x val="0.29831932773109282"/>
              <c:y val="0.88256227758007122"/>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248080256"/>
        <c:crosses val="autoZero"/>
        <c:crossBetween val="midCat"/>
        <c:majorUnit val="1.0000000000000005E-2"/>
      </c:valAx>
      <c:valAx>
        <c:axId val="248080256"/>
        <c:scaling>
          <c:orientation val="minMax"/>
          <c:max val="8.0000000000000043E-2"/>
          <c:min val="0"/>
        </c:scaling>
        <c:delete val="0"/>
        <c:axPos val="l"/>
        <c:title>
          <c:tx>
            <c:rich>
              <a:bodyPr/>
              <a:lstStyle/>
              <a:p>
                <a:pPr>
                  <a:defRPr sz="1200" b="1" i="0" u="none" strike="noStrike" baseline="0">
                    <a:solidFill>
                      <a:srgbClr val="000000"/>
                    </a:solidFill>
                    <a:latin typeface="Arial"/>
                    <a:ea typeface="Arial"/>
                    <a:cs typeface="Arial"/>
                  </a:defRPr>
                </a:pPr>
                <a:r>
                  <a:rPr lang="en-US"/>
                  <a:t>Real annual return</a:t>
                </a:r>
              </a:p>
            </c:rich>
          </c:tx>
          <c:layout>
            <c:manualLayout>
              <c:xMode val="edge"/>
              <c:yMode val="edge"/>
              <c:x val="1.0504201680672285E-2"/>
              <c:y val="0.167259786476868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248078336"/>
        <c:crosses val="autoZero"/>
        <c:crossBetween val="midCat"/>
        <c:majorUnit val="1.0000000000000005E-2"/>
      </c:valAx>
      <c:spPr>
        <a:noFill/>
        <a:ln w="25400">
          <a:noFill/>
        </a:ln>
      </c:spPr>
    </c:plotArea>
    <c:legend>
      <c:legendPos val="r"/>
      <c:layout>
        <c:manualLayout>
          <c:xMode val="edge"/>
          <c:yMode val="edge"/>
          <c:x val="0.65756302521008403"/>
          <c:y val="0.20640569395017794"/>
          <c:w val="0.27100840336134546"/>
          <c:h val="0.15302491103202892"/>
        </c:manualLayout>
      </c:layout>
      <c:overlay val="0"/>
      <c:spPr>
        <a:solidFill>
          <a:srgbClr val="FFFFFF"/>
        </a:solidFill>
        <a:ln w="3175">
          <a:solidFill>
            <a:srgbClr val="000000"/>
          </a:solidFill>
          <a:prstDash val="solid"/>
        </a:ln>
      </c:spPr>
      <c:txPr>
        <a:bodyPr/>
        <a:lstStyle/>
        <a:p>
          <a:pPr>
            <a:defRPr sz="89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en-US"/>
    </a:p>
  </c:txPr>
  <c:printSettings>
    <c:headerFooter alignWithMargins="0"/>
    <c:pageMargins b="1" l="0.75000000000000155" r="0.75000000000000155"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Implied inflation, 21 Aug 2009</a:t>
            </a:r>
          </a:p>
        </c:rich>
      </c:tx>
      <c:overlay val="0"/>
    </c:title>
    <c:autoTitleDeleted val="0"/>
    <c:plotArea>
      <c:layout/>
      <c:lineChart>
        <c:grouping val="standard"/>
        <c:varyColors val="0"/>
        <c:ser>
          <c:idx val="0"/>
          <c:order val="0"/>
          <c:tx>
            <c:strRef>
              <c:f>'Page 500'!$A$8</c:f>
              <c:strCache>
                <c:ptCount val="1"/>
                <c:pt idx="0">
                  <c:v>Implied inflation</c:v>
                </c:pt>
              </c:strCache>
            </c:strRef>
          </c:tx>
          <c:cat>
            <c:strRef>
              <c:f>'Page 500'!$B$2:$L$2</c:f>
              <c:strCache>
                <c:ptCount val="11"/>
                <c:pt idx="0">
                  <c:v>1 mo</c:v>
                </c:pt>
                <c:pt idx="1">
                  <c:v>3 mo</c:v>
                </c:pt>
                <c:pt idx="2">
                  <c:v>6 mo</c:v>
                </c:pt>
                <c:pt idx="3">
                  <c:v>1 yr</c:v>
                </c:pt>
                <c:pt idx="4">
                  <c:v>2 yr</c:v>
                </c:pt>
                <c:pt idx="5">
                  <c:v>3 yr</c:v>
                </c:pt>
                <c:pt idx="6">
                  <c:v>5 yr</c:v>
                </c:pt>
                <c:pt idx="7">
                  <c:v>7 yr</c:v>
                </c:pt>
                <c:pt idx="8">
                  <c:v>10 yr</c:v>
                </c:pt>
                <c:pt idx="9">
                  <c:v>10 yr</c:v>
                </c:pt>
                <c:pt idx="10">
                  <c:v>30 yr</c:v>
                </c:pt>
              </c:strCache>
            </c:strRef>
          </c:cat>
          <c:val>
            <c:numRef>
              <c:f>'Page 500'!$B$8:$L$8</c:f>
              <c:numCache>
                <c:formatCode>0.00%</c:formatCode>
                <c:ptCount val="11"/>
                <c:pt idx="0">
                  <c:v>-1.1200000000000002E-2</c:v>
                </c:pt>
                <c:pt idx="1">
                  <c:v>-1.1200000000000002E-2</c:v>
                </c:pt>
                <c:pt idx="2">
                  <c:v>-9.6000000000000009E-3</c:v>
                </c:pt>
                <c:pt idx="3">
                  <c:v>-7.7000000000000002E-3</c:v>
                </c:pt>
                <c:pt idx="4">
                  <c:v>-1.2000000000000014E-3</c:v>
                </c:pt>
                <c:pt idx="5">
                  <c:v>4.3E-3</c:v>
                </c:pt>
                <c:pt idx="6">
                  <c:v>1.3599999999999999E-2</c:v>
                </c:pt>
                <c:pt idx="7">
                  <c:v>1.7999999999999995E-2</c:v>
                </c:pt>
                <c:pt idx="8">
                  <c:v>1.8700000000000001E-2</c:v>
                </c:pt>
                <c:pt idx="9">
                  <c:v>2.2200000000000001E-2</c:v>
                </c:pt>
                <c:pt idx="10">
                  <c:v>2.2599999999999999E-2</c:v>
                </c:pt>
              </c:numCache>
            </c:numRef>
          </c:val>
          <c:smooth val="0"/>
          <c:extLst xmlns:c16r2="http://schemas.microsoft.com/office/drawing/2015/06/chart">
            <c:ext xmlns:c16="http://schemas.microsoft.com/office/drawing/2014/chart" uri="{C3380CC4-5D6E-409C-BE32-E72D297353CC}">
              <c16:uniqueId val="{00000000-9B6D-494F-932E-3E1C66016FE7}"/>
            </c:ext>
          </c:extLst>
        </c:ser>
        <c:dLbls>
          <c:showLegendKey val="0"/>
          <c:showVal val="0"/>
          <c:showCatName val="0"/>
          <c:showSerName val="0"/>
          <c:showPercent val="0"/>
          <c:showBubbleSize val="0"/>
        </c:dLbls>
        <c:marker val="1"/>
        <c:smooth val="0"/>
        <c:axId val="248155520"/>
        <c:axId val="248169600"/>
      </c:lineChart>
      <c:catAx>
        <c:axId val="248155520"/>
        <c:scaling>
          <c:orientation val="minMax"/>
        </c:scaling>
        <c:delete val="0"/>
        <c:axPos val="b"/>
        <c:numFmt formatCode="General" sourceLinked="0"/>
        <c:majorTickMark val="out"/>
        <c:minorTickMark val="none"/>
        <c:tickLblPos val="nextTo"/>
        <c:crossAx val="248169600"/>
        <c:crosses val="autoZero"/>
        <c:auto val="1"/>
        <c:lblAlgn val="ctr"/>
        <c:lblOffset val="100"/>
        <c:noMultiLvlLbl val="0"/>
      </c:catAx>
      <c:valAx>
        <c:axId val="248169600"/>
        <c:scaling>
          <c:orientation val="minMax"/>
        </c:scaling>
        <c:delete val="0"/>
        <c:axPos val="l"/>
        <c:majorGridlines/>
        <c:numFmt formatCode="0.00%" sourceLinked="1"/>
        <c:majorTickMark val="out"/>
        <c:minorTickMark val="none"/>
        <c:tickLblPos val="nextTo"/>
        <c:crossAx val="248155520"/>
        <c:crosses val="autoZero"/>
        <c:crossBetween val="between"/>
      </c:valAx>
    </c:plotArea>
    <c:plotVisOnly val="1"/>
    <c:dispBlanksAs val="gap"/>
    <c:showDLblsOverMax val="0"/>
  </c:chart>
  <c:printSettings>
    <c:headerFooter/>
    <c:pageMargins b="0.75000000000000056" l="0.70000000000000051" r="0.70000000000000051" t="0.75000000000000056" header="0.30000000000000027" footer="0.30000000000000027"/>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image" Target="../media/image2.gif"/><Relationship Id="rId1" Type="http://schemas.openxmlformats.org/officeDocument/2006/relationships/hyperlink" Target="javascript:lcs(document.getElementById('histcalendar'))" TargetMode="Externa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25400</xdr:colOff>
      <xdr:row>13</xdr:row>
      <xdr:rowOff>41275</xdr:rowOff>
    </xdr:from>
    <xdr:to>
      <xdr:col>4</xdr:col>
      <xdr:colOff>209550</xdr:colOff>
      <xdr:row>31</xdr:row>
      <xdr:rowOff>120650</xdr:rowOff>
    </xdr:to>
    <xdr:graphicFrame macro="">
      <xdr:nvGraphicFramePr>
        <xdr:cNvPr id="3073" name="Chart 1">
          <a:extLst>
            <a:ext uri="{FF2B5EF4-FFF2-40B4-BE49-F238E27FC236}">
              <a16:creationId xmlns:a16="http://schemas.microsoft.com/office/drawing/2014/main" xmlns="" id="{00000000-0008-0000-0700-000001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xdr:row>
      <xdr:rowOff>85725</xdr:rowOff>
    </xdr:from>
    <xdr:to>
      <xdr:col>8</xdr:col>
      <xdr:colOff>0</xdr:colOff>
      <xdr:row>3</xdr:row>
      <xdr:rowOff>85725</xdr:rowOff>
    </xdr:to>
    <xdr:sp macro="" textlink="">
      <xdr:nvSpPr>
        <xdr:cNvPr id="6145" name="Line 1">
          <a:extLst>
            <a:ext uri="{FF2B5EF4-FFF2-40B4-BE49-F238E27FC236}">
              <a16:creationId xmlns:a16="http://schemas.microsoft.com/office/drawing/2014/main" xmlns="" id="{00000000-0008-0000-0800-000001180000}"/>
            </a:ext>
          </a:extLst>
        </xdr:cNvPr>
        <xdr:cNvSpPr>
          <a:spLocks noChangeShapeType="1"/>
        </xdr:cNvSpPr>
      </xdr:nvSpPr>
      <xdr:spPr bwMode="auto">
        <a:xfrm>
          <a:off x="600075" y="933450"/>
          <a:ext cx="7305675" cy="0"/>
        </a:xfrm>
        <a:prstGeom prst="line">
          <a:avLst/>
        </a:prstGeom>
        <a:noFill/>
        <a:ln w="9525">
          <a:solidFill>
            <a:srgbClr val="000000"/>
          </a:solidFill>
          <a:round/>
          <a:headEnd/>
          <a:tailEnd/>
        </a:ln>
      </xdr:spPr>
    </xdr:sp>
    <xdr:clientData/>
  </xdr:twoCellAnchor>
  <xdr:twoCellAnchor>
    <xdr:from>
      <xdr:col>0</xdr:col>
      <xdr:colOff>314325</xdr:colOff>
      <xdr:row>3</xdr:row>
      <xdr:rowOff>19050</xdr:rowOff>
    </xdr:from>
    <xdr:to>
      <xdr:col>0</xdr:col>
      <xdr:colOff>314325</xdr:colOff>
      <xdr:row>4</xdr:row>
      <xdr:rowOff>9525</xdr:rowOff>
    </xdr:to>
    <xdr:sp macro="" textlink="">
      <xdr:nvSpPr>
        <xdr:cNvPr id="6146" name="Line 2">
          <a:extLst>
            <a:ext uri="{FF2B5EF4-FFF2-40B4-BE49-F238E27FC236}">
              <a16:creationId xmlns:a16="http://schemas.microsoft.com/office/drawing/2014/main" xmlns="" id="{00000000-0008-0000-0800-000002180000}"/>
            </a:ext>
          </a:extLst>
        </xdr:cNvPr>
        <xdr:cNvSpPr>
          <a:spLocks noChangeShapeType="1"/>
        </xdr:cNvSpPr>
      </xdr:nvSpPr>
      <xdr:spPr bwMode="auto">
        <a:xfrm>
          <a:off x="923925" y="866775"/>
          <a:ext cx="0" cy="152400"/>
        </a:xfrm>
        <a:prstGeom prst="line">
          <a:avLst/>
        </a:prstGeom>
        <a:noFill/>
        <a:ln w="9525">
          <a:solidFill>
            <a:srgbClr val="000000"/>
          </a:solidFill>
          <a:round/>
          <a:headEnd/>
          <a:tailEnd/>
        </a:ln>
      </xdr:spPr>
    </xdr:sp>
    <xdr:clientData/>
  </xdr:twoCellAnchor>
  <xdr:twoCellAnchor>
    <xdr:from>
      <xdr:col>3</xdr:col>
      <xdr:colOff>304800</xdr:colOff>
      <xdr:row>7</xdr:row>
      <xdr:rowOff>0</xdr:rowOff>
    </xdr:from>
    <xdr:to>
      <xdr:col>3</xdr:col>
      <xdr:colOff>314325</xdr:colOff>
      <xdr:row>7</xdr:row>
      <xdr:rowOff>0</xdr:rowOff>
    </xdr:to>
    <xdr:sp macro="" textlink="">
      <xdr:nvSpPr>
        <xdr:cNvPr id="6148" name="Line 4">
          <a:extLst>
            <a:ext uri="{FF2B5EF4-FFF2-40B4-BE49-F238E27FC236}">
              <a16:creationId xmlns:a16="http://schemas.microsoft.com/office/drawing/2014/main" xmlns="" id="{00000000-0008-0000-0800-000004180000}"/>
            </a:ext>
          </a:extLst>
        </xdr:cNvPr>
        <xdr:cNvSpPr>
          <a:spLocks noChangeShapeType="1"/>
        </xdr:cNvSpPr>
      </xdr:nvSpPr>
      <xdr:spPr bwMode="auto">
        <a:xfrm>
          <a:off x="3209925" y="1495425"/>
          <a:ext cx="9525" cy="0"/>
        </a:xfrm>
        <a:prstGeom prst="line">
          <a:avLst/>
        </a:prstGeom>
        <a:noFill/>
        <a:ln w="9525">
          <a:solidFill>
            <a:srgbClr val="000000"/>
          </a:solidFill>
          <a:round/>
          <a:headEnd/>
          <a:tailEnd/>
        </a:ln>
      </xdr:spPr>
    </xdr:sp>
    <xdr:clientData/>
  </xdr:twoCellAnchor>
  <xdr:twoCellAnchor>
    <xdr:from>
      <xdr:col>4</xdr:col>
      <xdr:colOff>304800</xdr:colOff>
      <xdr:row>7</xdr:row>
      <xdr:rowOff>0</xdr:rowOff>
    </xdr:from>
    <xdr:to>
      <xdr:col>4</xdr:col>
      <xdr:colOff>314325</xdr:colOff>
      <xdr:row>7</xdr:row>
      <xdr:rowOff>0</xdr:rowOff>
    </xdr:to>
    <xdr:sp macro="" textlink="">
      <xdr:nvSpPr>
        <xdr:cNvPr id="6149" name="Line 5">
          <a:extLst>
            <a:ext uri="{FF2B5EF4-FFF2-40B4-BE49-F238E27FC236}">
              <a16:creationId xmlns:a16="http://schemas.microsoft.com/office/drawing/2014/main" xmlns="" id="{00000000-0008-0000-0800-000005180000}"/>
            </a:ext>
          </a:extLst>
        </xdr:cNvPr>
        <xdr:cNvSpPr>
          <a:spLocks noChangeShapeType="1"/>
        </xdr:cNvSpPr>
      </xdr:nvSpPr>
      <xdr:spPr bwMode="auto">
        <a:xfrm>
          <a:off x="4210050" y="1495425"/>
          <a:ext cx="9525" cy="0"/>
        </a:xfrm>
        <a:prstGeom prst="line">
          <a:avLst/>
        </a:prstGeom>
        <a:noFill/>
        <a:ln w="9525">
          <a:solidFill>
            <a:srgbClr val="000000"/>
          </a:solidFill>
          <a:round/>
          <a:headEnd/>
          <a:tailEnd/>
        </a:ln>
      </xdr:spPr>
    </xdr:sp>
    <xdr:clientData/>
  </xdr:twoCellAnchor>
  <xdr:twoCellAnchor>
    <xdr:from>
      <xdr:col>5</xdr:col>
      <xdr:colOff>304800</xdr:colOff>
      <xdr:row>7</xdr:row>
      <xdr:rowOff>0</xdr:rowOff>
    </xdr:from>
    <xdr:to>
      <xdr:col>5</xdr:col>
      <xdr:colOff>314325</xdr:colOff>
      <xdr:row>7</xdr:row>
      <xdr:rowOff>0</xdr:rowOff>
    </xdr:to>
    <xdr:sp macro="" textlink="">
      <xdr:nvSpPr>
        <xdr:cNvPr id="6150" name="Line 6">
          <a:extLst>
            <a:ext uri="{FF2B5EF4-FFF2-40B4-BE49-F238E27FC236}">
              <a16:creationId xmlns:a16="http://schemas.microsoft.com/office/drawing/2014/main" xmlns="" id="{00000000-0008-0000-0800-000006180000}"/>
            </a:ext>
          </a:extLst>
        </xdr:cNvPr>
        <xdr:cNvSpPr>
          <a:spLocks noChangeShapeType="1"/>
        </xdr:cNvSpPr>
      </xdr:nvSpPr>
      <xdr:spPr bwMode="auto">
        <a:xfrm>
          <a:off x="5210175" y="1495425"/>
          <a:ext cx="9525" cy="0"/>
        </a:xfrm>
        <a:prstGeom prst="line">
          <a:avLst/>
        </a:prstGeom>
        <a:noFill/>
        <a:ln w="9525">
          <a:solidFill>
            <a:srgbClr val="000000"/>
          </a:solidFill>
          <a:round/>
          <a:headEnd/>
          <a:tailEnd/>
        </a:ln>
      </xdr:spPr>
    </xdr:sp>
    <xdr:clientData/>
  </xdr:twoCellAnchor>
  <xdr:twoCellAnchor>
    <xdr:from>
      <xdr:col>6</xdr:col>
      <xdr:colOff>304800</xdr:colOff>
      <xdr:row>7</xdr:row>
      <xdr:rowOff>0</xdr:rowOff>
    </xdr:from>
    <xdr:to>
      <xdr:col>6</xdr:col>
      <xdr:colOff>314325</xdr:colOff>
      <xdr:row>7</xdr:row>
      <xdr:rowOff>0</xdr:rowOff>
    </xdr:to>
    <xdr:sp macro="" textlink="">
      <xdr:nvSpPr>
        <xdr:cNvPr id="6151" name="Line 7">
          <a:extLst>
            <a:ext uri="{FF2B5EF4-FFF2-40B4-BE49-F238E27FC236}">
              <a16:creationId xmlns:a16="http://schemas.microsoft.com/office/drawing/2014/main" xmlns="" id="{00000000-0008-0000-0800-000007180000}"/>
            </a:ext>
          </a:extLst>
        </xdr:cNvPr>
        <xdr:cNvSpPr>
          <a:spLocks noChangeShapeType="1"/>
        </xdr:cNvSpPr>
      </xdr:nvSpPr>
      <xdr:spPr bwMode="auto">
        <a:xfrm>
          <a:off x="6210300" y="1495425"/>
          <a:ext cx="9525" cy="0"/>
        </a:xfrm>
        <a:prstGeom prst="line">
          <a:avLst/>
        </a:prstGeom>
        <a:noFill/>
        <a:ln w="9525">
          <a:solidFill>
            <a:srgbClr val="000000"/>
          </a:solidFill>
          <a:round/>
          <a:headEnd/>
          <a:tailEnd/>
        </a:ln>
      </xdr:spPr>
    </xdr:sp>
    <xdr:clientData/>
  </xdr:twoCellAnchor>
  <xdr:twoCellAnchor>
    <xdr:from>
      <xdr:col>1</xdr:col>
      <xdr:colOff>333375</xdr:colOff>
      <xdr:row>3</xdr:row>
      <xdr:rowOff>9525</xdr:rowOff>
    </xdr:from>
    <xdr:to>
      <xdr:col>1</xdr:col>
      <xdr:colOff>333375</xdr:colOff>
      <xdr:row>4</xdr:row>
      <xdr:rowOff>0</xdr:rowOff>
    </xdr:to>
    <xdr:sp macro="" textlink="">
      <xdr:nvSpPr>
        <xdr:cNvPr id="6154" name="Line 10">
          <a:extLst>
            <a:ext uri="{FF2B5EF4-FFF2-40B4-BE49-F238E27FC236}">
              <a16:creationId xmlns:a16="http://schemas.microsoft.com/office/drawing/2014/main" xmlns="" id="{00000000-0008-0000-0800-00000A180000}"/>
            </a:ext>
          </a:extLst>
        </xdr:cNvPr>
        <xdr:cNvSpPr>
          <a:spLocks noChangeShapeType="1"/>
        </xdr:cNvSpPr>
      </xdr:nvSpPr>
      <xdr:spPr bwMode="auto">
        <a:xfrm>
          <a:off x="1590675" y="857250"/>
          <a:ext cx="0" cy="152400"/>
        </a:xfrm>
        <a:prstGeom prst="line">
          <a:avLst/>
        </a:prstGeom>
        <a:noFill/>
        <a:ln w="9525">
          <a:solidFill>
            <a:srgbClr val="000000"/>
          </a:solidFill>
          <a:round/>
          <a:headEnd/>
          <a:tailEnd/>
        </a:ln>
      </xdr:spPr>
    </xdr:sp>
    <xdr:clientData/>
  </xdr:twoCellAnchor>
  <xdr:twoCellAnchor>
    <xdr:from>
      <xdr:col>3</xdr:col>
      <xdr:colOff>514350</xdr:colOff>
      <xdr:row>2</xdr:row>
      <xdr:rowOff>152400</xdr:rowOff>
    </xdr:from>
    <xdr:to>
      <xdr:col>3</xdr:col>
      <xdr:colOff>514350</xdr:colOff>
      <xdr:row>3</xdr:row>
      <xdr:rowOff>142875</xdr:rowOff>
    </xdr:to>
    <xdr:sp macro="" textlink="">
      <xdr:nvSpPr>
        <xdr:cNvPr id="6155" name="Line 11">
          <a:extLst>
            <a:ext uri="{FF2B5EF4-FFF2-40B4-BE49-F238E27FC236}">
              <a16:creationId xmlns:a16="http://schemas.microsoft.com/office/drawing/2014/main" xmlns="" id="{00000000-0008-0000-0800-00000B180000}"/>
            </a:ext>
          </a:extLst>
        </xdr:cNvPr>
        <xdr:cNvSpPr>
          <a:spLocks noChangeShapeType="1"/>
        </xdr:cNvSpPr>
      </xdr:nvSpPr>
      <xdr:spPr bwMode="auto">
        <a:xfrm>
          <a:off x="3419475" y="838200"/>
          <a:ext cx="0" cy="152400"/>
        </a:xfrm>
        <a:prstGeom prst="line">
          <a:avLst/>
        </a:prstGeom>
        <a:noFill/>
        <a:ln w="9525">
          <a:solidFill>
            <a:srgbClr val="000000"/>
          </a:solidFill>
          <a:round/>
          <a:headEnd/>
          <a:tailEnd/>
        </a:ln>
      </xdr:spPr>
    </xdr:sp>
    <xdr:clientData/>
  </xdr:twoCellAnchor>
  <xdr:twoCellAnchor>
    <xdr:from>
      <xdr:col>2</xdr:col>
      <xdr:colOff>504825</xdr:colOff>
      <xdr:row>2</xdr:row>
      <xdr:rowOff>152400</xdr:rowOff>
    </xdr:from>
    <xdr:to>
      <xdr:col>2</xdr:col>
      <xdr:colOff>504825</xdr:colOff>
      <xdr:row>3</xdr:row>
      <xdr:rowOff>142875</xdr:rowOff>
    </xdr:to>
    <xdr:sp macro="" textlink="">
      <xdr:nvSpPr>
        <xdr:cNvPr id="6156" name="Line 12">
          <a:extLst>
            <a:ext uri="{FF2B5EF4-FFF2-40B4-BE49-F238E27FC236}">
              <a16:creationId xmlns:a16="http://schemas.microsoft.com/office/drawing/2014/main" xmlns="" id="{00000000-0008-0000-0800-00000C180000}"/>
            </a:ext>
          </a:extLst>
        </xdr:cNvPr>
        <xdr:cNvSpPr>
          <a:spLocks noChangeShapeType="1"/>
        </xdr:cNvSpPr>
      </xdr:nvSpPr>
      <xdr:spPr bwMode="auto">
        <a:xfrm>
          <a:off x="2409825" y="838200"/>
          <a:ext cx="0" cy="152400"/>
        </a:xfrm>
        <a:prstGeom prst="line">
          <a:avLst/>
        </a:prstGeom>
        <a:noFill/>
        <a:ln w="9525">
          <a:solidFill>
            <a:srgbClr val="000000"/>
          </a:solidFill>
          <a:round/>
          <a:headEnd/>
          <a:tailEnd/>
        </a:ln>
      </xdr:spPr>
    </xdr:sp>
    <xdr:clientData/>
  </xdr:twoCellAnchor>
  <xdr:twoCellAnchor>
    <xdr:from>
      <xdr:col>4</xdr:col>
      <xdr:colOff>523875</xdr:colOff>
      <xdr:row>2</xdr:row>
      <xdr:rowOff>152400</xdr:rowOff>
    </xdr:from>
    <xdr:to>
      <xdr:col>4</xdr:col>
      <xdr:colOff>523875</xdr:colOff>
      <xdr:row>3</xdr:row>
      <xdr:rowOff>142875</xdr:rowOff>
    </xdr:to>
    <xdr:sp macro="" textlink="">
      <xdr:nvSpPr>
        <xdr:cNvPr id="6157" name="Line 13">
          <a:extLst>
            <a:ext uri="{FF2B5EF4-FFF2-40B4-BE49-F238E27FC236}">
              <a16:creationId xmlns:a16="http://schemas.microsoft.com/office/drawing/2014/main" xmlns="" id="{00000000-0008-0000-0800-00000D180000}"/>
            </a:ext>
          </a:extLst>
        </xdr:cNvPr>
        <xdr:cNvSpPr>
          <a:spLocks noChangeShapeType="1"/>
        </xdr:cNvSpPr>
      </xdr:nvSpPr>
      <xdr:spPr bwMode="auto">
        <a:xfrm>
          <a:off x="4429125" y="838200"/>
          <a:ext cx="0" cy="152400"/>
        </a:xfrm>
        <a:prstGeom prst="line">
          <a:avLst/>
        </a:prstGeom>
        <a:noFill/>
        <a:ln w="9525">
          <a:solidFill>
            <a:srgbClr val="000000"/>
          </a:solidFill>
          <a:round/>
          <a:headEnd/>
          <a:tailEnd/>
        </a:ln>
      </xdr:spPr>
    </xdr:sp>
    <xdr:clientData/>
  </xdr:twoCellAnchor>
  <xdr:twoCellAnchor>
    <xdr:from>
      <xdr:col>5</xdr:col>
      <xdr:colOff>523875</xdr:colOff>
      <xdr:row>2</xdr:row>
      <xdr:rowOff>152400</xdr:rowOff>
    </xdr:from>
    <xdr:to>
      <xdr:col>5</xdr:col>
      <xdr:colOff>523875</xdr:colOff>
      <xdr:row>3</xdr:row>
      <xdr:rowOff>142875</xdr:rowOff>
    </xdr:to>
    <xdr:sp macro="" textlink="">
      <xdr:nvSpPr>
        <xdr:cNvPr id="6158" name="Line 14">
          <a:extLst>
            <a:ext uri="{FF2B5EF4-FFF2-40B4-BE49-F238E27FC236}">
              <a16:creationId xmlns:a16="http://schemas.microsoft.com/office/drawing/2014/main" xmlns="" id="{00000000-0008-0000-0800-00000E180000}"/>
            </a:ext>
          </a:extLst>
        </xdr:cNvPr>
        <xdr:cNvSpPr>
          <a:spLocks noChangeShapeType="1"/>
        </xdr:cNvSpPr>
      </xdr:nvSpPr>
      <xdr:spPr bwMode="auto">
        <a:xfrm>
          <a:off x="5429250" y="838200"/>
          <a:ext cx="0" cy="152400"/>
        </a:xfrm>
        <a:prstGeom prst="line">
          <a:avLst/>
        </a:prstGeom>
        <a:noFill/>
        <a:ln w="9525">
          <a:solidFill>
            <a:srgbClr val="000000"/>
          </a:solidFill>
          <a:round/>
          <a:headEnd/>
          <a:tailEnd/>
        </a:ln>
      </xdr:spPr>
    </xdr:sp>
    <xdr:clientData/>
  </xdr:twoCellAnchor>
  <xdr:twoCellAnchor>
    <xdr:from>
      <xdr:col>6</xdr:col>
      <xdr:colOff>533400</xdr:colOff>
      <xdr:row>2</xdr:row>
      <xdr:rowOff>152400</xdr:rowOff>
    </xdr:from>
    <xdr:to>
      <xdr:col>6</xdr:col>
      <xdr:colOff>533400</xdr:colOff>
      <xdr:row>3</xdr:row>
      <xdr:rowOff>142875</xdr:rowOff>
    </xdr:to>
    <xdr:sp macro="" textlink="">
      <xdr:nvSpPr>
        <xdr:cNvPr id="6159" name="Line 15">
          <a:extLst>
            <a:ext uri="{FF2B5EF4-FFF2-40B4-BE49-F238E27FC236}">
              <a16:creationId xmlns:a16="http://schemas.microsoft.com/office/drawing/2014/main" xmlns="" id="{00000000-0008-0000-0800-00000F180000}"/>
            </a:ext>
          </a:extLst>
        </xdr:cNvPr>
        <xdr:cNvSpPr>
          <a:spLocks noChangeShapeType="1"/>
        </xdr:cNvSpPr>
      </xdr:nvSpPr>
      <xdr:spPr bwMode="auto">
        <a:xfrm>
          <a:off x="6438900" y="838200"/>
          <a:ext cx="0" cy="152400"/>
        </a:xfrm>
        <a:prstGeom prst="line">
          <a:avLst/>
        </a:prstGeom>
        <a:noFill/>
        <a:ln w="9525">
          <a:solidFill>
            <a:srgbClr val="000000"/>
          </a:solidFill>
          <a:round/>
          <a:headEnd/>
          <a:tailEnd/>
        </a:ln>
      </xdr:spPr>
    </xdr:sp>
    <xdr:clientData/>
  </xdr:twoCellAnchor>
  <xdr:twoCellAnchor>
    <xdr:from>
      <xdr:col>7</xdr:col>
      <xdr:colOff>514350</xdr:colOff>
      <xdr:row>3</xdr:row>
      <xdr:rowOff>0</xdr:rowOff>
    </xdr:from>
    <xdr:to>
      <xdr:col>7</xdr:col>
      <xdr:colOff>514350</xdr:colOff>
      <xdr:row>3</xdr:row>
      <xdr:rowOff>152400</xdr:rowOff>
    </xdr:to>
    <xdr:sp macro="" textlink="">
      <xdr:nvSpPr>
        <xdr:cNvPr id="6160" name="Line 16">
          <a:extLst>
            <a:ext uri="{FF2B5EF4-FFF2-40B4-BE49-F238E27FC236}">
              <a16:creationId xmlns:a16="http://schemas.microsoft.com/office/drawing/2014/main" xmlns="" id="{00000000-0008-0000-0800-000010180000}"/>
            </a:ext>
          </a:extLst>
        </xdr:cNvPr>
        <xdr:cNvSpPr>
          <a:spLocks noChangeShapeType="1"/>
        </xdr:cNvSpPr>
      </xdr:nvSpPr>
      <xdr:spPr bwMode="auto">
        <a:xfrm>
          <a:off x="7419975" y="847725"/>
          <a:ext cx="0" cy="152400"/>
        </a:xfrm>
        <a:prstGeom prst="line">
          <a:avLst/>
        </a:prstGeom>
        <a:noFill/>
        <a:ln w="9525">
          <a:solidFill>
            <a:srgbClr val="000000"/>
          </a:solidFill>
          <a:round/>
          <a:headEnd/>
          <a:tailEnd/>
        </a:ln>
      </xdr:spPr>
    </xdr:sp>
    <xdr:clientData/>
  </xdr:twoCellAnchor>
  <xdr:twoCellAnchor>
    <xdr:from>
      <xdr:col>10</xdr:col>
      <xdr:colOff>314325</xdr:colOff>
      <xdr:row>7</xdr:row>
      <xdr:rowOff>0</xdr:rowOff>
    </xdr:from>
    <xdr:to>
      <xdr:col>10</xdr:col>
      <xdr:colOff>314325</xdr:colOff>
      <xdr:row>7</xdr:row>
      <xdr:rowOff>0</xdr:rowOff>
    </xdr:to>
    <xdr:sp macro="" textlink="">
      <xdr:nvSpPr>
        <xdr:cNvPr id="6161" name="Line 17">
          <a:extLst>
            <a:ext uri="{FF2B5EF4-FFF2-40B4-BE49-F238E27FC236}">
              <a16:creationId xmlns:a16="http://schemas.microsoft.com/office/drawing/2014/main" xmlns="" id="{00000000-0008-0000-0800-000011180000}"/>
            </a:ext>
          </a:extLst>
        </xdr:cNvPr>
        <xdr:cNvSpPr>
          <a:spLocks noChangeShapeType="1"/>
        </xdr:cNvSpPr>
      </xdr:nvSpPr>
      <xdr:spPr bwMode="auto">
        <a:xfrm>
          <a:off x="10048875" y="1495425"/>
          <a:ext cx="0" cy="0"/>
        </a:xfrm>
        <a:prstGeom prst="line">
          <a:avLst/>
        </a:prstGeom>
        <a:noFill/>
        <a:ln w="9525">
          <a:solidFill>
            <a:srgbClr val="000000"/>
          </a:solidFill>
          <a:round/>
          <a:headEnd/>
          <a:tailEnd/>
        </a:ln>
      </xdr:spPr>
    </xdr:sp>
    <xdr:clientData/>
  </xdr:twoCellAnchor>
  <xdr:twoCellAnchor>
    <xdr:from>
      <xdr:col>0</xdr:col>
      <xdr:colOff>352425</xdr:colOff>
      <xdr:row>5</xdr:row>
      <xdr:rowOff>85725</xdr:rowOff>
    </xdr:from>
    <xdr:to>
      <xdr:col>1</xdr:col>
      <xdr:colOff>342900</xdr:colOff>
      <xdr:row>5</xdr:row>
      <xdr:rowOff>142875</xdr:rowOff>
    </xdr:to>
    <xdr:sp macro="" textlink="">
      <xdr:nvSpPr>
        <xdr:cNvPr id="6162" name="AutoShape 18">
          <a:extLst>
            <a:ext uri="{FF2B5EF4-FFF2-40B4-BE49-F238E27FC236}">
              <a16:creationId xmlns:a16="http://schemas.microsoft.com/office/drawing/2014/main" xmlns="" id="{00000000-0008-0000-0800-000012180000}"/>
            </a:ext>
          </a:extLst>
        </xdr:cNvPr>
        <xdr:cNvSpPr>
          <a:spLocks/>
        </xdr:cNvSpPr>
      </xdr:nvSpPr>
      <xdr:spPr bwMode="auto">
        <a:xfrm rot="16200000">
          <a:off x="1252538" y="966787"/>
          <a:ext cx="57150" cy="638175"/>
        </a:xfrm>
        <a:prstGeom prst="leftBrace">
          <a:avLst>
            <a:gd name="adj1" fmla="val 93056"/>
            <a:gd name="adj2" fmla="val 50000"/>
          </a:avLst>
        </a:prstGeom>
        <a:noFill/>
        <a:ln w="9525">
          <a:solidFill>
            <a:srgbClr val="000000"/>
          </a:solidFill>
          <a:round/>
          <a:headEnd/>
          <a:tailEnd/>
        </a:ln>
      </xdr:spPr>
    </xdr:sp>
    <xdr:clientData/>
  </xdr:twoCellAnchor>
  <xdr:twoCellAnchor>
    <xdr:from>
      <xdr:col>0</xdr:col>
      <xdr:colOff>377825</xdr:colOff>
      <xdr:row>6</xdr:row>
      <xdr:rowOff>31750</xdr:rowOff>
    </xdr:from>
    <xdr:to>
      <xdr:col>1</xdr:col>
      <xdr:colOff>282575</xdr:colOff>
      <xdr:row>7</xdr:row>
      <xdr:rowOff>69850</xdr:rowOff>
    </xdr:to>
    <xdr:sp macro="" textlink="">
      <xdr:nvSpPr>
        <xdr:cNvPr id="6164" name="Text Box 20">
          <a:extLst>
            <a:ext uri="{FF2B5EF4-FFF2-40B4-BE49-F238E27FC236}">
              <a16:creationId xmlns:a16="http://schemas.microsoft.com/office/drawing/2014/main" xmlns="" id="{00000000-0008-0000-0800-000014180000}"/>
            </a:ext>
          </a:extLst>
        </xdr:cNvPr>
        <xdr:cNvSpPr txBox="1">
          <a:spLocks noChangeArrowheads="1"/>
        </xdr:cNvSpPr>
      </xdr:nvSpPr>
      <xdr:spPr bwMode="auto">
        <a:xfrm>
          <a:off x="987425" y="1022350"/>
          <a:ext cx="584200" cy="1968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214 days</a:t>
          </a:r>
        </a:p>
      </xdr:txBody>
    </xdr:sp>
    <xdr:clientData/>
  </xdr:twoCellAnchor>
  <xdr:twoCellAnchor>
    <xdr:from>
      <xdr:col>1</xdr:col>
      <xdr:colOff>390525</xdr:colOff>
      <xdr:row>5</xdr:row>
      <xdr:rowOff>85725</xdr:rowOff>
    </xdr:from>
    <xdr:to>
      <xdr:col>2</xdr:col>
      <xdr:colOff>552450</xdr:colOff>
      <xdr:row>5</xdr:row>
      <xdr:rowOff>123825</xdr:rowOff>
    </xdr:to>
    <xdr:sp macro="" textlink="">
      <xdr:nvSpPr>
        <xdr:cNvPr id="6165" name="AutoShape 21">
          <a:extLst>
            <a:ext uri="{FF2B5EF4-FFF2-40B4-BE49-F238E27FC236}">
              <a16:creationId xmlns:a16="http://schemas.microsoft.com/office/drawing/2014/main" xmlns="" id="{00000000-0008-0000-0800-000015180000}"/>
            </a:ext>
          </a:extLst>
        </xdr:cNvPr>
        <xdr:cNvSpPr>
          <a:spLocks/>
        </xdr:cNvSpPr>
      </xdr:nvSpPr>
      <xdr:spPr bwMode="auto">
        <a:xfrm rot="16200000">
          <a:off x="2033588" y="871537"/>
          <a:ext cx="38100" cy="809625"/>
        </a:xfrm>
        <a:prstGeom prst="leftBrace">
          <a:avLst>
            <a:gd name="adj1" fmla="val 177083"/>
            <a:gd name="adj2" fmla="val 50000"/>
          </a:avLst>
        </a:prstGeom>
        <a:noFill/>
        <a:ln w="9525">
          <a:solidFill>
            <a:srgbClr val="000000"/>
          </a:solidFill>
          <a:round/>
          <a:headEnd/>
          <a:tailEnd/>
        </a:ln>
      </xdr:spPr>
    </xdr:sp>
    <xdr:clientData/>
  </xdr:twoCellAnchor>
  <xdr:oneCellAnchor>
    <xdr:from>
      <xdr:col>4</xdr:col>
      <xdr:colOff>723900</xdr:colOff>
      <xdr:row>13</xdr:row>
      <xdr:rowOff>0</xdr:rowOff>
    </xdr:from>
    <xdr:ext cx="76200" cy="200025"/>
    <xdr:sp macro="" textlink="">
      <xdr:nvSpPr>
        <xdr:cNvPr id="6166" name="Text Box 22">
          <a:extLst>
            <a:ext uri="{FF2B5EF4-FFF2-40B4-BE49-F238E27FC236}">
              <a16:creationId xmlns:a16="http://schemas.microsoft.com/office/drawing/2014/main" xmlns="" id="{00000000-0008-0000-0800-000016180000}"/>
            </a:ext>
          </a:extLst>
        </xdr:cNvPr>
        <xdr:cNvSpPr txBox="1">
          <a:spLocks noChangeArrowheads="1"/>
        </xdr:cNvSpPr>
      </xdr:nvSpPr>
      <xdr:spPr bwMode="auto">
        <a:xfrm>
          <a:off x="4629150" y="3409950"/>
          <a:ext cx="76200" cy="200025"/>
        </a:xfrm>
        <a:prstGeom prst="rect">
          <a:avLst/>
        </a:prstGeom>
        <a:noFill/>
        <a:ln w="9525">
          <a:noFill/>
          <a:miter lim="800000"/>
          <a:headEnd/>
          <a:tailEnd/>
        </a:ln>
      </xdr:spPr>
    </xdr:sp>
    <xdr:clientData/>
  </xdr:oneCellAnchor>
  <xdr:twoCellAnchor>
    <xdr:from>
      <xdr:col>2</xdr:col>
      <xdr:colOff>619125</xdr:colOff>
      <xdr:row>5</xdr:row>
      <xdr:rowOff>95250</xdr:rowOff>
    </xdr:from>
    <xdr:to>
      <xdr:col>3</xdr:col>
      <xdr:colOff>504825</xdr:colOff>
      <xdr:row>5</xdr:row>
      <xdr:rowOff>133350</xdr:rowOff>
    </xdr:to>
    <xdr:sp macro="" textlink="">
      <xdr:nvSpPr>
        <xdr:cNvPr id="6168" name="AutoShape 24">
          <a:extLst>
            <a:ext uri="{FF2B5EF4-FFF2-40B4-BE49-F238E27FC236}">
              <a16:creationId xmlns:a16="http://schemas.microsoft.com/office/drawing/2014/main" xmlns="" id="{00000000-0008-0000-0800-000018180000}"/>
            </a:ext>
          </a:extLst>
        </xdr:cNvPr>
        <xdr:cNvSpPr>
          <a:spLocks/>
        </xdr:cNvSpPr>
      </xdr:nvSpPr>
      <xdr:spPr bwMode="auto">
        <a:xfrm rot="16200000">
          <a:off x="2947988" y="842962"/>
          <a:ext cx="38100" cy="885825"/>
        </a:xfrm>
        <a:prstGeom prst="leftBrace">
          <a:avLst>
            <a:gd name="adj1" fmla="val 193750"/>
            <a:gd name="adj2" fmla="val 50000"/>
          </a:avLst>
        </a:prstGeom>
        <a:noFill/>
        <a:ln w="9525">
          <a:solidFill>
            <a:srgbClr val="000000"/>
          </a:solidFill>
          <a:round/>
          <a:headEnd/>
          <a:tailEnd/>
        </a:ln>
      </xdr:spPr>
    </xdr:sp>
    <xdr:clientData/>
  </xdr:twoCellAnchor>
  <xdr:twoCellAnchor>
    <xdr:from>
      <xdr:col>3</xdr:col>
      <xdr:colOff>571500</xdr:colOff>
      <xdr:row>5</xdr:row>
      <xdr:rowOff>95250</xdr:rowOff>
    </xdr:from>
    <xdr:to>
      <xdr:col>4</xdr:col>
      <xdr:colOff>504825</xdr:colOff>
      <xdr:row>5</xdr:row>
      <xdr:rowOff>133350</xdr:rowOff>
    </xdr:to>
    <xdr:sp macro="" textlink="">
      <xdr:nvSpPr>
        <xdr:cNvPr id="6169" name="AutoShape 25">
          <a:extLst>
            <a:ext uri="{FF2B5EF4-FFF2-40B4-BE49-F238E27FC236}">
              <a16:creationId xmlns:a16="http://schemas.microsoft.com/office/drawing/2014/main" xmlns="" id="{00000000-0008-0000-0800-000019180000}"/>
            </a:ext>
          </a:extLst>
        </xdr:cNvPr>
        <xdr:cNvSpPr>
          <a:spLocks/>
        </xdr:cNvSpPr>
      </xdr:nvSpPr>
      <xdr:spPr bwMode="auto">
        <a:xfrm rot="16200000">
          <a:off x="3924300" y="819150"/>
          <a:ext cx="38100" cy="933450"/>
        </a:xfrm>
        <a:prstGeom prst="leftBrace">
          <a:avLst>
            <a:gd name="adj1" fmla="val 204167"/>
            <a:gd name="adj2" fmla="val 50000"/>
          </a:avLst>
        </a:prstGeom>
        <a:noFill/>
        <a:ln w="9525">
          <a:solidFill>
            <a:srgbClr val="000000"/>
          </a:solidFill>
          <a:round/>
          <a:headEnd/>
          <a:tailEnd/>
        </a:ln>
      </xdr:spPr>
    </xdr:sp>
    <xdr:clientData/>
  </xdr:twoCellAnchor>
  <xdr:twoCellAnchor>
    <xdr:from>
      <xdr:col>4</xdr:col>
      <xdr:colOff>590550</xdr:colOff>
      <xdr:row>5</xdr:row>
      <xdr:rowOff>95250</xdr:rowOff>
    </xdr:from>
    <xdr:to>
      <xdr:col>5</xdr:col>
      <xdr:colOff>476250</xdr:colOff>
      <xdr:row>5</xdr:row>
      <xdr:rowOff>133350</xdr:rowOff>
    </xdr:to>
    <xdr:sp macro="" textlink="">
      <xdr:nvSpPr>
        <xdr:cNvPr id="6175" name="AutoShape 31">
          <a:extLst>
            <a:ext uri="{FF2B5EF4-FFF2-40B4-BE49-F238E27FC236}">
              <a16:creationId xmlns:a16="http://schemas.microsoft.com/office/drawing/2014/main" xmlns="" id="{00000000-0008-0000-0800-00001F180000}"/>
            </a:ext>
          </a:extLst>
        </xdr:cNvPr>
        <xdr:cNvSpPr>
          <a:spLocks/>
        </xdr:cNvSpPr>
      </xdr:nvSpPr>
      <xdr:spPr bwMode="auto">
        <a:xfrm rot="16200000">
          <a:off x="4919663" y="842962"/>
          <a:ext cx="38100" cy="885825"/>
        </a:xfrm>
        <a:prstGeom prst="leftBrace">
          <a:avLst>
            <a:gd name="adj1" fmla="val 193750"/>
            <a:gd name="adj2" fmla="val 50000"/>
          </a:avLst>
        </a:prstGeom>
        <a:noFill/>
        <a:ln w="9525">
          <a:solidFill>
            <a:srgbClr val="000000"/>
          </a:solidFill>
          <a:round/>
          <a:headEnd/>
          <a:tailEnd/>
        </a:ln>
      </xdr:spPr>
    </xdr:sp>
    <xdr:clientData/>
  </xdr:twoCellAnchor>
  <xdr:twoCellAnchor>
    <xdr:from>
      <xdr:col>5</xdr:col>
      <xdr:colOff>581025</xdr:colOff>
      <xdr:row>5</xdr:row>
      <xdr:rowOff>95250</xdr:rowOff>
    </xdr:from>
    <xdr:to>
      <xdr:col>6</xdr:col>
      <xdr:colOff>466725</xdr:colOff>
      <xdr:row>5</xdr:row>
      <xdr:rowOff>133350</xdr:rowOff>
    </xdr:to>
    <xdr:sp macro="" textlink="">
      <xdr:nvSpPr>
        <xdr:cNvPr id="6176" name="AutoShape 32">
          <a:extLst>
            <a:ext uri="{FF2B5EF4-FFF2-40B4-BE49-F238E27FC236}">
              <a16:creationId xmlns:a16="http://schemas.microsoft.com/office/drawing/2014/main" xmlns="" id="{00000000-0008-0000-0800-000020180000}"/>
            </a:ext>
          </a:extLst>
        </xdr:cNvPr>
        <xdr:cNvSpPr>
          <a:spLocks/>
        </xdr:cNvSpPr>
      </xdr:nvSpPr>
      <xdr:spPr bwMode="auto">
        <a:xfrm rot="16200000">
          <a:off x="5910263" y="842962"/>
          <a:ext cx="38100" cy="885825"/>
        </a:xfrm>
        <a:prstGeom prst="leftBrace">
          <a:avLst>
            <a:gd name="adj1" fmla="val 193750"/>
            <a:gd name="adj2" fmla="val 50000"/>
          </a:avLst>
        </a:prstGeom>
        <a:noFill/>
        <a:ln w="9525">
          <a:solidFill>
            <a:srgbClr val="000000"/>
          </a:solidFill>
          <a:round/>
          <a:headEnd/>
          <a:tailEnd/>
        </a:ln>
      </xdr:spPr>
    </xdr:sp>
    <xdr:clientData/>
  </xdr:twoCellAnchor>
  <xdr:twoCellAnchor>
    <xdr:from>
      <xdr:col>6</xdr:col>
      <xdr:colOff>542925</xdr:colOff>
      <xdr:row>5</xdr:row>
      <xdr:rowOff>95250</xdr:rowOff>
    </xdr:from>
    <xdr:to>
      <xdr:col>7</xdr:col>
      <xdr:colOff>428625</xdr:colOff>
      <xdr:row>5</xdr:row>
      <xdr:rowOff>133350</xdr:rowOff>
    </xdr:to>
    <xdr:sp macro="" textlink="">
      <xdr:nvSpPr>
        <xdr:cNvPr id="6177" name="AutoShape 33">
          <a:extLst>
            <a:ext uri="{FF2B5EF4-FFF2-40B4-BE49-F238E27FC236}">
              <a16:creationId xmlns:a16="http://schemas.microsoft.com/office/drawing/2014/main" xmlns="" id="{00000000-0008-0000-0800-000021180000}"/>
            </a:ext>
          </a:extLst>
        </xdr:cNvPr>
        <xdr:cNvSpPr>
          <a:spLocks/>
        </xdr:cNvSpPr>
      </xdr:nvSpPr>
      <xdr:spPr bwMode="auto">
        <a:xfrm rot="16200000">
          <a:off x="6872288" y="842962"/>
          <a:ext cx="38100" cy="885825"/>
        </a:xfrm>
        <a:prstGeom prst="leftBrace">
          <a:avLst>
            <a:gd name="adj1" fmla="val 193750"/>
            <a:gd name="adj2" fmla="val 50000"/>
          </a:avLst>
        </a:prstGeom>
        <a:noFill/>
        <a:ln w="9525">
          <a:solidFill>
            <a:srgbClr val="000000"/>
          </a:solidFill>
          <a:round/>
          <a:headEnd/>
          <a:tailEnd/>
        </a:ln>
      </xdr:spPr>
    </xdr:sp>
    <xdr:clientData/>
  </xdr:twoCellAnchor>
  <xdr:twoCellAnchor>
    <xdr:from>
      <xdr:col>1</xdr:col>
      <xdr:colOff>508000</xdr:colOff>
      <xdr:row>6</xdr:row>
      <xdr:rowOff>25400</xdr:rowOff>
    </xdr:from>
    <xdr:to>
      <xdr:col>2</xdr:col>
      <xdr:colOff>447675</xdr:colOff>
      <xdr:row>8</xdr:row>
      <xdr:rowOff>69850</xdr:rowOff>
    </xdr:to>
    <xdr:sp macro="" textlink="">
      <xdr:nvSpPr>
        <xdr:cNvPr id="6178" name="Text Box 34">
          <a:extLst>
            <a:ext uri="{FF2B5EF4-FFF2-40B4-BE49-F238E27FC236}">
              <a16:creationId xmlns:a16="http://schemas.microsoft.com/office/drawing/2014/main" xmlns="" id="{00000000-0008-0000-0800-000022180000}"/>
            </a:ext>
          </a:extLst>
        </xdr:cNvPr>
        <xdr:cNvSpPr txBox="1">
          <a:spLocks noChangeArrowheads="1"/>
        </xdr:cNvSpPr>
      </xdr:nvSpPr>
      <xdr:spPr bwMode="auto">
        <a:xfrm>
          <a:off x="1797050" y="1016000"/>
          <a:ext cx="619125" cy="3619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366 days</a:t>
          </a:r>
          <a:br>
            <a:rPr lang="en-US" sz="1000" b="0" i="0" strike="noStrike">
              <a:solidFill>
                <a:srgbClr val="000000"/>
              </a:solidFill>
              <a:latin typeface="Arial"/>
              <a:cs typeface="Arial"/>
            </a:rPr>
          </a:br>
          <a:r>
            <a:rPr lang="en-US" sz="1000" b="0" i="0" strike="noStrike">
              <a:solidFill>
                <a:srgbClr val="000000"/>
              </a:solidFill>
              <a:latin typeface="Arial"/>
              <a:cs typeface="Arial"/>
            </a:rPr>
            <a:t>leap year</a:t>
          </a:r>
        </a:p>
      </xdr:txBody>
    </xdr:sp>
    <xdr:clientData/>
  </xdr:twoCellAnchor>
  <xdr:twoCellAnchor>
    <xdr:from>
      <xdr:col>2</xdr:col>
      <xdr:colOff>819150</xdr:colOff>
      <xdr:row>6</xdr:row>
      <xdr:rowOff>31750</xdr:rowOff>
    </xdr:from>
    <xdr:to>
      <xdr:col>3</xdr:col>
      <xdr:colOff>371475</xdr:colOff>
      <xdr:row>7</xdr:row>
      <xdr:rowOff>69850</xdr:rowOff>
    </xdr:to>
    <xdr:sp macro="" textlink="">
      <xdr:nvSpPr>
        <xdr:cNvPr id="6179" name="Text Box 35">
          <a:extLst>
            <a:ext uri="{FF2B5EF4-FFF2-40B4-BE49-F238E27FC236}">
              <a16:creationId xmlns:a16="http://schemas.microsoft.com/office/drawing/2014/main" xmlns="" id="{00000000-0008-0000-0800-000023180000}"/>
            </a:ext>
          </a:extLst>
        </xdr:cNvPr>
        <xdr:cNvSpPr txBox="1">
          <a:spLocks noChangeArrowheads="1"/>
        </xdr:cNvSpPr>
      </xdr:nvSpPr>
      <xdr:spPr bwMode="auto">
        <a:xfrm>
          <a:off x="2787650" y="1022350"/>
          <a:ext cx="600075" cy="1968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365 days</a:t>
          </a:r>
        </a:p>
      </xdr:txBody>
    </xdr:sp>
    <xdr:clientData/>
  </xdr:twoCellAnchor>
  <xdr:twoCellAnchor>
    <xdr:from>
      <xdr:col>4</xdr:col>
      <xdr:colOff>787400</xdr:colOff>
      <xdr:row>6</xdr:row>
      <xdr:rowOff>31750</xdr:rowOff>
    </xdr:from>
    <xdr:to>
      <xdr:col>5</xdr:col>
      <xdr:colOff>339725</xdr:colOff>
      <xdr:row>7</xdr:row>
      <xdr:rowOff>69850</xdr:rowOff>
    </xdr:to>
    <xdr:sp macro="" textlink="">
      <xdr:nvSpPr>
        <xdr:cNvPr id="6180" name="Text Box 36">
          <a:extLst>
            <a:ext uri="{FF2B5EF4-FFF2-40B4-BE49-F238E27FC236}">
              <a16:creationId xmlns:a16="http://schemas.microsoft.com/office/drawing/2014/main" xmlns="" id="{00000000-0008-0000-0800-000024180000}"/>
            </a:ext>
          </a:extLst>
        </xdr:cNvPr>
        <xdr:cNvSpPr txBox="1">
          <a:spLocks noChangeArrowheads="1"/>
        </xdr:cNvSpPr>
      </xdr:nvSpPr>
      <xdr:spPr bwMode="auto">
        <a:xfrm>
          <a:off x="4851400" y="1022350"/>
          <a:ext cx="600075" cy="1968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365 days</a:t>
          </a:r>
        </a:p>
      </xdr:txBody>
    </xdr:sp>
    <xdr:clientData/>
  </xdr:twoCellAnchor>
  <xdr:twoCellAnchor>
    <xdr:from>
      <xdr:col>5</xdr:col>
      <xdr:colOff>768349</xdr:colOff>
      <xdr:row>6</xdr:row>
      <xdr:rowOff>31750</xdr:rowOff>
    </xdr:from>
    <xdr:to>
      <xdr:col>6</xdr:col>
      <xdr:colOff>330199</xdr:colOff>
      <xdr:row>8</xdr:row>
      <xdr:rowOff>60325</xdr:rowOff>
    </xdr:to>
    <xdr:sp macro="" textlink="">
      <xdr:nvSpPr>
        <xdr:cNvPr id="6182" name="Text Box 38">
          <a:extLst>
            <a:ext uri="{FF2B5EF4-FFF2-40B4-BE49-F238E27FC236}">
              <a16:creationId xmlns:a16="http://schemas.microsoft.com/office/drawing/2014/main" xmlns="" id="{00000000-0008-0000-0800-000026180000}"/>
            </a:ext>
          </a:extLst>
        </xdr:cNvPr>
        <xdr:cNvSpPr txBox="1">
          <a:spLocks noChangeArrowheads="1"/>
        </xdr:cNvSpPr>
      </xdr:nvSpPr>
      <xdr:spPr bwMode="auto">
        <a:xfrm>
          <a:off x="5880099" y="1022350"/>
          <a:ext cx="609600" cy="3460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366 days</a:t>
          </a:r>
          <a:br>
            <a:rPr lang="en-US" sz="1000" b="0" i="0" strike="noStrike">
              <a:solidFill>
                <a:srgbClr val="000000"/>
              </a:solidFill>
              <a:latin typeface="Arial"/>
              <a:cs typeface="Arial"/>
            </a:rPr>
          </a:br>
          <a:r>
            <a:rPr lang="en-US" sz="1000" b="0" i="0" strike="noStrike">
              <a:solidFill>
                <a:srgbClr val="000000"/>
              </a:solidFill>
              <a:latin typeface="Arial"/>
              <a:cs typeface="Arial"/>
            </a:rPr>
            <a:t>leap year</a:t>
          </a:r>
        </a:p>
      </xdr:txBody>
    </xdr:sp>
    <xdr:clientData/>
  </xdr:twoCellAnchor>
  <xdr:twoCellAnchor>
    <xdr:from>
      <xdr:col>3</xdr:col>
      <xdr:colOff>781050</xdr:colOff>
      <xdr:row>6</xdr:row>
      <xdr:rowOff>28575</xdr:rowOff>
    </xdr:from>
    <xdr:to>
      <xdr:col>4</xdr:col>
      <xdr:colOff>333375</xdr:colOff>
      <xdr:row>7</xdr:row>
      <xdr:rowOff>63500</xdr:rowOff>
    </xdr:to>
    <xdr:sp macro="" textlink="">
      <xdr:nvSpPr>
        <xdr:cNvPr id="35" name="Text Box 35">
          <a:extLst>
            <a:ext uri="{FF2B5EF4-FFF2-40B4-BE49-F238E27FC236}">
              <a16:creationId xmlns:a16="http://schemas.microsoft.com/office/drawing/2014/main" xmlns="" id="{00000000-0008-0000-0800-000023000000}"/>
            </a:ext>
          </a:extLst>
        </xdr:cNvPr>
        <xdr:cNvSpPr txBox="1">
          <a:spLocks noChangeArrowheads="1"/>
        </xdr:cNvSpPr>
      </xdr:nvSpPr>
      <xdr:spPr bwMode="auto">
        <a:xfrm>
          <a:off x="3797300" y="1019175"/>
          <a:ext cx="600075" cy="193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365 days</a:t>
          </a:r>
        </a:p>
      </xdr:txBody>
    </xdr:sp>
    <xdr:clientData/>
  </xdr:twoCellAnchor>
  <xdr:twoCellAnchor>
    <xdr:from>
      <xdr:col>5</xdr:col>
      <xdr:colOff>523875</xdr:colOff>
      <xdr:row>2</xdr:row>
      <xdr:rowOff>152400</xdr:rowOff>
    </xdr:from>
    <xdr:to>
      <xdr:col>5</xdr:col>
      <xdr:colOff>523875</xdr:colOff>
      <xdr:row>3</xdr:row>
      <xdr:rowOff>142875</xdr:rowOff>
    </xdr:to>
    <xdr:sp macro="" textlink="">
      <xdr:nvSpPr>
        <xdr:cNvPr id="41" name="Line 14">
          <a:extLst>
            <a:ext uri="{FF2B5EF4-FFF2-40B4-BE49-F238E27FC236}">
              <a16:creationId xmlns:a16="http://schemas.microsoft.com/office/drawing/2014/main" xmlns="" id="{00000000-0008-0000-0800-000029000000}"/>
            </a:ext>
          </a:extLst>
        </xdr:cNvPr>
        <xdr:cNvSpPr>
          <a:spLocks noChangeShapeType="1"/>
        </xdr:cNvSpPr>
      </xdr:nvSpPr>
      <xdr:spPr bwMode="auto">
        <a:xfrm>
          <a:off x="7731125" y="508000"/>
          <a:ext cx="0" cy="149225"/>
        </a:xfrm>
        <a:prstGeom prst="line">
          <a:avLst/>
        </a:prstGeom>
        <a:noFill/>
        <a:ln w="9525">
          <a:solidFill>
            <a:srgbClr val="000000"/>
          </a:solidFill>
          <a:round/>
          <a:headEnd/>
          <a:tailEnd/>
        </a:ln>
      </xdr:spPr>
    </xdr:sp>
    <xdr:clientData/>
  </xdr:twoCellAnchor>
  <xdr:twoCellAnchor>
    <xdr:from>
      <xdr:col>6</xdr:col>
      <xdr:colOff>723900</xdr:colOff>
      <xdr:row>6</xdr:row>
      <xdr:rowOff>31750</xdr:rowOff>
    </xdr:from>
    <xdr:to>
      <xdr:col>7</xdr:col>
      <xdr:colOff>276225</xdr:colOff>
      <xdr:row>7</xdr:row>
      <xdr:rowOff>69850</xdr:rowOff>
    </xdr:to>
    <xdr:sp macro="" textlink="">
      <xdr:nvSpPr>
        <xdr:cNvPr id="42" name="Text Box 36">
          <a:extLst>
            <a:ext uri="{FF2B5EF4-FFF2-40B4-BE49-F238E27FC236}">
              <a16:creationId xmlns:a16="http://schemas.microsoft.com/office/drawing/2014/main" xmlns="" id="{00000000-0008-0000-0800-00002A000000}"/>
            </a:ext>
          </a:extLst>
        </xdr:cNvPr>
        <xdr:cNvSpPr txBox="1">
          <a:spLocks noChangeArrowheads="1"/>
        </xdr:cNvSpPr>
      </xdr:nvSpPr>
      <xdr:spPr bwMode="auto">
        <a:xfrm>
          <a:off x="6883400" y="1022350"/>
          <a:ext cx="600075" cy="1968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365 days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46037</xdr:rowOff>
    </xdr:from>
    <xdr:to>
      <xdr:col>13</xdr:col>
      <xdr:colOff>273050</xdr:colOff>
      <xdr:row>15</xdr:row>
      <xdr:rowOff>7937</xdr:rowOff>
    </xdr:to>
    <xdr:graphicFrame macro="">
      <xdr:nvGraphicFramePr>
        <xdr:cNvPr id="2" name="Project Timeline" descr="Line chart that plots each project on the corresponding timeframe." title="Project Timeline">
          <a:extLst>
            <a:ext uri="{FF2B5EF4-FFF2-40B4-BE49-F238E27FC236}">
              <a16:creationId xmlns:a16="http://schemas.microsoft.com/office/drawing/2014/main" xmlns=""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339725</xdr:colOff>
      <xdr:row>5</xdr:row>
      <xdr:rowOff>231775</xdr:rowOff>
    </xdr:from>
    <xdr:to>
      <xdr:col>1</xdr:col>
      <xdr:colOff>933450</xdr:colOff>
      <xdr:row>6</xdr:row>
      <xdr:rowOff>171450</xdr:rowOff>
    </xdr:to>
    <xdr:sp macro="" textlink="">
      <xdr:nvSpPr>
        <xdr:cNvPr id="4" name="Text Box 18">
          <a:extLst>
            <a:ext uri="{FF2B5EF4-FFF2-40B4-BE49-F238E27FC236}">
              <a16:creationId xmlns:a16="http://schemas.microsoft.com/office/drawing/2014/main" xmlns="" id="{00000000-0008-0000-0C00-000004000000}"/>
            </a:ext>
          </a:extLst>
        </xdr:cNvPr>
        <xdr:cNvSpPr txBox="1">
          <a:spLocks noChangeArrowheads="1"/>
        </xdr:cNvSpPr>
      </xdr:nvSpPr>
      <xdr:spPr bwMode="auto">
        <a:xfrm>
          <a:off x="600075" y="1647825"/>
          <a:ext cx="593725" cy="1873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109 days</a:t>
          </a:r>
        </a:p>
      </xdr:txBody>
    </xdr:sp>
    <xdr:clientData/>
  </xdr:twoCellAnchor>
  <xdr:twoCellAnchor>
    <xdr:from>
      <xdr:col>1</xdr:col>
      <xdr:colOff>419100</xdr:colOff>
      <xdr:row>5</xdr:row>
      <xdr:rowOff>9526</xdr:rowOff>
    </xdr:from>
    <xdr:to>
      <xdr:col>2</xdr:col>
      <xdr:colOff>679453</xdr:colOff>
      <xdr:row>5</xdr:row>
      <xdr:rowOff>171453</xdr:rowOff>
    </xdr:to>
    <xdr:sp macro="" textlink="">
      <xdr:nvSpPr>
        <xdr:cNvPr id="5" name="AutoShape 19">
          <a:extLst>
            <a:ext uri="{FF2B5EF4-FFF2-40B4-BE49-F238E27FC236}">
              <a16:creationId xmlns:a16="http://schemas.microsoft.com/office/drawing/2014/main" xmlns="" id="{00000000-0008-0000-0C00-000005000000}"/>
            </a:ext>
          </a:extLst>
        </xdr:cNvPr>
        <xdr:cNvSpPr>
          <a:spLocks/>
        </xdr:cNvSpPr>
      </xdr:nvSpPr>
      <xdr:spPr bwMode="auto">
        <a:xfrm rot="5400000" flipV="1">
          <a:off x="1271588" y="833438"/>
          <a:ext cx="161927" cy="1346203"/>
        </a:xfrm>
        <a:prstGeom prst="leftBrace">
          <a:avLst>
            <a:gd name="adj1" fmla="val 516667"/>
            <a:gd name="adj2" fmla="val 50000"/>
          </a:avLst>
        </a:prstGeom>
        <a:noFill/>
        <a:ln w="9525">
          <a:solidFill>
            <a:srgbClr val="000000"/>
          </a:solidFill>
          <a:round/>
          <a:headEnd/>
          <a:tailEnd/>
        </a:ln>
      </xdr:spPr>
    </xdr:sp>
    <xdr:clientData/>
  </xdr:twoCellAnchor>
  <xdr:twoCellAnchor>
    <xdr:from>
      <xdr:col>1</xdr:col>
      <xdr:colOff>254000</xdr:colOff>
      <xdr:row>3</xdr:row>
      <xdr:rowOff>107950</xdr:rowOff>
    </xdr:from>
    <xdr:to>
      <xdr:col>2</xdr:col>
      <xdr:colOff>838200</xdr:colOff>
      <xdr:row>4</xdr:row>
      <xdr:rowOff>222250</xdr:rowOff>
    </xdr:to>
    <xdr:sp macro="" textlink="">
      <xdr:nvSpPr>
        <xdr:cNvPr id="6" name="Text Box 21">
          <a:extLst>
            <a:ext uri="{FF2B5EF4-FFF2-40B4-BE49-F238E27FC236}">
              <a16:creationId xmlns:a16="http://schemas.microsoft.com/office/drawing/2014/main" xmlns="" id="{00000000-0008-0000-0C00-000006000000}"/>
            </a:ext>
          </a:extLst>
        </xdr:cNvPr>
        <xdr:cNvSpPr txBox="1">
          <a:spLocks noChangeArrowheads="1"/>
        </xdr:cNvSpPr>
      </xdr:nvSpPr>
      <xdr:spPr bwMode="auto">
        <a:xfrm>
          <a:off x="514350" y="1028700"/>
          <a:ext cx="1670050" cy="3619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ctr" rtl="0">
            <a:defRPr sz="1000"/>
          </a:pPr>
          <a:r>
            <a:rPr lang="en-US" sz="1000" b="0" i="0" strike="noStrike">
              <a:solidFill>
                <a:srgbClr val="000000"/>
              </a:solidFill>
              <a:latin typeface="Arial"/>
              <a:cs typeface="Arial"/>
            </a:rPr>
            <a:t>365 days</a:t>
          </a:r>
        </a:p>
        <a:p>
          <a:pPr algn="ctr" rtl="0">
            <a:defRPr sz="1000"/>
          </a:pPr>
          <a:r>
            <a:rPr lang="en-US" sz="1000" b="0" i="0" strike="noStrike">
              <a:solidFill>
                <a:srgbClr val="000000"/>
              </a:solidFill>
              <a:latin typeface="Arial"/>
              <a:cs typeface="Arial"/>
            </a:rPr>
            <a:t>$70 Coupon for this period</a:t>
          </a:r>
        </a:p>
      </xdr:txBody>
    </xdr:sp>
    <xdr:clientData/>
  </xdr:twoCellAnchor>
  <xdr:twoCellAnchor>
    <xdr:from>
      <xdr:col>1</xdr:col>
      <xdr:colOff>425450</xdr:colOff>
      <xdr:row>6</xdr:row>
      <xdr:rowOff>190501</xdr:rowOff>
    </xdr:from>
    <xdr:to>
      <xdr:col>1</xdr:col>
      <xdr:colOff>838203</xdr:colOff>
      <xdr:row>7</xdr:row>
      <xdr:rowOff>31753</xdr:rowOff>
    </xdr:to>
    <xdr:sp macro="" textlink="">
      <xdr:nvSpPr>
        <xdr:cNvPr id="7" name="AutoShape 34">
          <a:extLst>
            <a:ext uri="{FF2B5EF4-FFF2-40B4-BE49-F238E27FC236}">
              <a16:creationId xmlns:a16="http://schemas.microsoft.com/office/drawing/2014/main" xmlns="" id="{00000000-0008-0000-0C00-000007000000}"/>
            </a:ext>
          </a:extLst>
        </xdr:cNvPr>
        <xdr:cNvSpPr>
          <a:spLocks/>
        </xdr:cNvSpPr>
      </xdr:nvSpPr>
      <xdr:spPr bwMode="auto">
        <a:xfrm rot="5400000" flipV="1">
          <a:off x="847726" y="1692275"/>
          <a:ext cx="88902" cy="412753"/>
        </a:xfrm>
        <a:prstGeom prst="leftBrace">
          <a:avLst>
            <a:gd name="adj1" fmla="val 269444"/>
            <a:gd name="adj2" fmla="val 50000"/>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3</xdr:col>
          <xdr:colOff>581025</xdr:colOff>
          <xdr:row>2</xdr:row>
          <xdr:rowOff>57150</xdr:rowOff>
        </xdr:from>
        <xdr:to>
          <xdr:col>7</xdr:col>
          <xdr:colOff>371475</xdr:colOff>
          <xdr:row>3</xdr:row>
          <xdr:rowOff>190500</xdr:rowOff>
        </xdr:to>
        <xdr:sp macro="" textlink="">
          <xdr:nvSpPr>
            <xdr:cNvPr id="26625" name="Object 1" hidden="1">
              <a:extLst>
                <a:ext uri="{63B3BB69-23CF-44E3-9099-C40C66FF867C}">
                  <a14:compatExt spid="_x0000_s26625"/>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600075</xdr:colOff>
      <xdr:row>2</xdr:row>
      <xdr:rowOff>85725</xdr:rowOff>
    </xdr:from>
    <xdr:to>
      <xdr:col>4</xdr:col>
      <xdr:colOff>0</xdr:colOff>
      <xdr:row>2</xdr:row>
      <xdr:rowOff>85725</xdr:rowOff>
    </xdr:to>
    <xdr:sp macro="" textlink="">
      <xdr:nvSpPr>
        <xdr:cNvPr id="8193" name="Line 1">
          <a:extLst>
            <a:ext uri="{FF2B5EF4-FFF2-40B4-BE49-F238E27FC236}">
              <a16:creationId xmlns:a16="http://schemas.microsoft.com/office/drawing/2014/main" xmlns="" id="{00000000-0008-0000-0D00-000001200000}"/>
            </a:ext>
          </a:extLst>
        </xdr:cNvPr>
        <xdr:cNvSpPr>
          <a:spLocks noChangeShapeType="1"/>
        </xdr:cNvSpPr>
      </xdr:nvSpPr>
      <xdr:spPr bwMode="auto">
        <a:xfrm>
          <a:off x="276225" y="1190625"/>
          <a:ext cx="2343150" cy="0"/>
        </a:xfrm>
        <a:prstGeom prst="line">
          <a:avLst/>
        </a:prstGeom>
        <a:noFill/>
        <a:ln w="9525">
          <a:solidFill>
            <a:srgbClr val="000000"/>
          </a:solidFill>
          <a:round/>
          <a:headEnd/>
          <a:tailEnd/>
        </a:ln>
      </xdr:spPr>
    </xdr:sp>
    <xdr:clientData/>
  </xdr:twoCellAnchor>
  <xdr:twoCellAnchor>
    <xdr:from>
      <xdr:col>3</xdr:col>
      <xdr:colOff>304800</xdr:colOff>
      <xdr:row>6</xdr:row>
      <xdr:rowOff>0</xdr:rowOff>
    </xdr:from>
    <xdr:to>
      <xdr:col>3</xdr:col>
      <xdr:colOff>314325</xdr:colOff>
      <xdr:row>6</xdr:row>
      <xdr:rowOff>0</xdr:rowOff>
    </xdr:to>
    <xdr:sp macro="" textlink="">
      <xdr:nvSpPr>
        <xdr:cNvPr id="8195" name="Line 3">
          <a:extLst>
            <a:ext uri="{FF2B5EF4-FFF2-40B4-BE49-F238E27FC236}">
              <a16:creationId xmlns:a16="http://schemas.microsoft.com/office/drawing/2014/main" xmlns="" id="{00000000-0008-0000-0D00-000003200000}"/>
            </a:ext>
          </a:extLst>
        </xdr:cNvPr>
        <xdr:cNvSpPr>
          <a:spLocks noChangeShapeType="1"/>
        </xdr:cNvSpPr>
      </xdr:nvSpPr>
      <xdr:spPr bwMode="auto">
        <a:xfrm>
          <a:off x="2143125" y="1752600"/>
          <a:ext cx="9525" cy="0"/>
        </a:xfrm>
        <a:prstGeom prst="line">
          <a:avLst/>
        </a:prstGeom>
        <a:noFill/>
        <a:ln w="9525">
          <a:solidFill>
            <a:srgbClr val="000000"/>
          </a:solidFill>
          <a:round/>
          <a:headEnd/>
          <a:tailEnd/>
        </a:ln>
      </xdr:spPr>
    </xdr:sp>
    <xdr:clientData/>
  </xdr:twoCellAnchor>
  <xdr:twoCellAnchor>
    <xdr:from>
      <xdr:col>4</xdr:col>
      <xdr:colOff>0</xdr:colOff>
      <xdr:row>6</xdr:row>
      <xdr:rowOff>0</xdr:rowOff>
    </xdr:from>
    <xdr:to>
      <xdr:col>4</xdr:col>
      <xdr:colOff>0</xdr:colOff>
      <xdr:row>6</xdr:row>
      <xdr:rowOff>0</xdr:rowOff>
    </xdr:to>
    <xdr:sp macro="" textlink="">
      <xdr:nvSpPr>
        <xdr:cNvPr id="8196" name="Line 4">
          <a:extLst>
            <a:ext uri="{FF2B5EF4-FFF2-40B4-BE49-F238E27FC236}">
              <a16:creationId xmlns:a16="http://schemas.microsoft.com/office/drawing/2014/main" xmlns="" id="{00000000-0008-0000-0D00-000004200000}"/>
            </a:ext>
          </a:extLst>
        </xdr:cNvPr>
        <xdr:cNvSpPr>
          <a:spLocks noChangeShapeType="1"/>
        </xdr:cNvSpPr>
      </xdr:nvSpPr>
      <xdr:spPr bwMode="auto">
        <a:xfrm>
          <a:off x="2619375" y="1752600"/>
          <a:ext cx="0" cy="0"/>
        </a:xfrm>
        <a:prstGeom prst="line">
          <a:avLst/>
        </a:prstGeom>
        <a:noFill/>
        <a:ln w="9525">
          <a:solidFill>
            <a:srgbClr val="000000"/>
          </a:solidFill>
          <a:round/>
          <a:headEnd/>
          <a:tailEnd/>
        </a:ln>
      </xdr:spPr>
    </xdr:sp>
    <xdr:clientData/>
  </xdr:twoCellAnchor>
  <xdr:twoCellAnchor>
    <xdr:from>
      <xdr:col>4</xdr:col>
      <xdr:colOff>0</xdr:colOff>
      <xdr:row>6</xdr:row>
      <xdr:rowOff>0</xdr:rowOff>
    </xdr:from>
    <xdr:to>
      <xdr:col>4</xdr:col>
      <xdr:colOff>0</xdr:colOff>
      <xdr:row>6</xdr:row>
      <xdr:rowOff>0</xdr:rowOff>
    </xdr:to>
    <xdr:sp macro="" textlink="">
      <xdr:nvSpPr>
        <xdr:cNvPr id="8197" name="Line 5">
          <a:extLst>
            <a:ext uri="{FF2B5EF4-FFF2-40B4-BE49-F238E27FC236}">
              <a16:creationId xmlns:a16="http://schemas.microsoft.com/office/drawing/2014/main" xmlns="" id="{00000000-0008-0000-0D00-000005200000}"/>
            </a:ext>
          </a:extLst>
        </xdr:cNvPr>
        <xdr:cNvSpPr>
          <a:spLocks noChangeShapeType="1"/>
        </xdr:cNvSpPr>
      </xdr:nvSpPr>
      <xdr:spPr bwMode="auto">
        <a:xfrm>
          <a:off x="2619375" y="1752600"/>
          <a:ext cx="0" cy="0"/>
        </a:xfrm>
        <a:prstGeom prst="line">
          <a:avLst/>
        </a:prstGeom>
        <a:noFill/>
        <a:ln w="9525">
          <a:solidFill>
            <a:srgbClr val="000000"/>
          </a:solidFill>
          <a:round/>
          <a:headEnd/>
          <a:tailEnd/>
        </a:ln>
      </xdr:spPr>
    </xdr:sp>
    <xdr:clientData/>
  </xdr:twoCellAnchor>
  <xdr:twoCellAnchor>
    <xdr:from>
      <xdr:col>4</xdr:col>
      <xdr:colOff>0</xdr:colOff>
      <xdr:row>6</xdr:row>
      <xdr:rowOff>0</xdr:rowOff>
    </xdr:from>
    <xdr:to>
      <xdr:col>4</xdr:col>
      <xdr:colOff>0</xdr:colOff>
      <xdr:row>6</xdr:row>
      <xdr:rowOff>0</xdr:rowOff>
    </xdr:to>
    <xdr:sp macro="" textlink="">
      <xdr:nvSpPr>
        <xdr:cNvPr id="8198" name="Line 6">
          <a:extLst>
            <a:ext uri="{FF2B5EF4-FFF2-40B4-BE49-F238E27FC236}">
              <a16:creationId xmlns:a16="http://schemas.microsoft.com/office/drawing/2014/main" xmlns="" id="{00000000-0008-0000-0D00-000006200000}"/>
            </a:ext>
          </a:extLst>
        </xdr:cNvPr>
        <xdr:cNvSpPr>
          <a:spLocks noChangeShapeType="1"/>
        </xdr:cNvSpPr>
      </xdr:nvSpPr>
      <xdr:spPr bwMode="auto">
        <a:xfrm>
          <a:off x="2619375" y="1752600"/>
          <a:ext cx="0" cy="0"/>
        </a:xfrm>
        <a:prstGeom prst="line">
          <a:avLst/>
        </a:prstGeom>
        <a:noFill/>
        <a:ln w="9525">
          <a:solidFill>
            <a:srgbClr val="000000"/>
          </a:solidFill>
          <a:round/>
          <a:headEnd/>
          <a:tailEnd/>
        </a:ln>
      </xdr:spPr>
    </xdr:sp>
    <xdr:clientData/>
  </xdr:twoCellAnchor>
  <xdr:twoCellAnchor>
    <xdr:from>
      <xdr:col>4</xdr:col>
      <xdr:colOff>0</xdr:colOff>
      <xdr:row>6</xdr:row>
      <xdr:rowOff>0</xdr:rowOff>
    </xdr:from>
    <xdr:to>
      <xdr:col>4</xdr:col>
      <xdr:colOff>0</xdr:colOff>
      <xdr:row>6</xdr:row>
      <xdr:rowOff>0</xdr:rowOff>
    </xdr:to>
    <xdr:sp macro="" textlink="">
      <xdr:nvSpPr>
        <xdr:cNvPr id="8199" name="Line 7">
          <a:extLst>
            <a:ext uri="{FF2B5EF4-FFF2-40B4-BE49-F238E27FC236}">
              <a16:creationId xmlns:a16="http://schemas.microsoft.com/office/drawing/2014/main" xmlns="" id="{00000000-0008-0000-0D00-000007200000}"/>
            </a:ext>
          </a:extLst>
        </xdr:cNvPr>
        <xdr:cNvSpPr>
          <a:spLocks noChangeShapeType="1"/>
        </xdr:cNvSpPr>
      </xdr:nvSpPr>
      <xdr:spPr bwMode="auto">
        <a:xfrm>
          <a:off x="2619375" y="1752600"/>
          <a:ext cx="0" cy="0"/>
        </a:xfrm>
        <a:prstGeom prst="line">
          <a:avLst/>
        </a:prstGeom>
        <a:noFill/>
        <a:ln w="9525">
          <a:solidFill>
            <a:srgbClr val="000000"/>
          </a:solidFill>
          <a:round/>
          <a:headEnd/>
          <a:tailEnd/>
        </a:ln>
      </xdr:spPr>
    </xdr:sp>
    <xdr:clientData/>
  </xdr:twoCellAnchor>
  <xdr:twoCellAnchor>
    <xdr:from>
      <xdr:col>1</xdr:col>
      <xdr:colOff>333375</xdr:colOff>
      <xdr:row>2</xdr:row>
      <xdr:rowOff>9525</xdr:rowOff>
    </xdr:from>
    <xdr:to>
      <xdr:col>1</xdr:col>
      <xdr:colOff>333375</xdr:colOff>
      <xdr:row>3</xdr:row>
      <xdr:rowOff>0</xdr:rowOff>
    </xdr:to>
    <xdr:sp macro="" textlink="">
      <xdr:nvSpPr>
        <xdr:cNvPr id="8201" name="Line 9">
          <a:extLst>
            <a:ext uri="{FF2B5EF4-FFF2-40B4-BE49-F238E27FC236}">
              <a16:creationId xmlns:a16="http://schemas.microsoft.com/office/drawing/2014/main" xmlns="" id="{00000000-0008-0000-0D00-000009200000}"/>
            </a:ext>
          </a:extLst>
        </xdr:cNvPr>
        <xdr:cNvSpPr>
          <a:spLocks noChangeShapeType="1"/>
        </xdr:cNvSpPr>
      </xdr:nvSpPr>
      <xdr:spPr bwMode="auto">
        <a:xfrm>
          <a:off x="609600" y="1114425"/>
          <a:ext cx="0" cy="152400"/>
        </a:xfrm>
        <a:prstGeom prst="line">
          <a:avLst/>
        </a:prstGeom>
        <a:noFill/>
        <a:ln w="9525">
          <a:solidFill>
            <a:srgbClr val="000000"/>
          </a:solidFill>
          <a:round/>
          <a:headEnd/>
          <a:tailEnd/>
        </a:ln>
      </xdr:spPr>
    </xdr:sp>
    <xdr:clientData/>
  </xdr:twoCellAnchor>
  <xdr:twoCellAnchor>
    <xdr:from>
      <xdr:col>3</xdr:col>
      <xdr:colOff>504825</xdr:colOff>
      <xdr:row>2</xdr:row>
      <xdr:rowOff>0</xdr:rowOff>
    </xdr:from>
    <xdr:to>
      <xdr:col>3</xdr:col>
      <xdr:colOff>504825</xdr:colOff>
      <xdr:row>2</xdr:row>
      <xdr:rowOff>142875</xdr:rowOff>
    </xdr:to>
    <xdr:sp macro="" textlink="">
      <xdr:nvSpPr>
        <xdr:cNvPr id="8202" name="Line 10">
          <a:extLst>
            <a:ext uri="{FF2B5EF4-FFF2-40B4-BE49-F238E27FC236}">
              <a16:creationId xmlns:a16="http://schemas.microsoft.com/office/drawing/2014/main" xmlns="" id="{00000000-0008-0000-0D00-00000A200000}"/>
            </a:ext>
          </a:extLst>
        </xdr:cNvPr>
        <xdr:cNvSpPr>
          <a:spLocks noChangeShapeType="1"/>
        </xdr:cNvSpPr>
      </xdr:nvSpPr>
      <xdr:spPr bwMode="auto">
        <a:xfrm>
          <a:off x="2343150" y="1104900"/>
          <a:ext cx="0" cy="142875"/>
        </a:xfrm>
        <a:prstGeom prst="line">
          <a:avLst/>
        </a:prstGeom>
        <a:noFill/>
        <a:ln w="9525">
          <a:solidFill>
            <a:srgbClr val="000000"/>
          </a:solidFill>
          <a:round/>
          <a:headEnd/>
          <a:tailEnd/>
        </a:ln>
      </xdr:spPr>
    </xdr:sp>
    <xdr:clientData/>
  </xdr:twoCellAnchor>
  <xdr:twoCellAnchor>
    <xdr:from>
      <xdr:col>2</xdr:col>
      <xdr:colOff>495300</xdr:colOff>
      <xdr:row>2</xdr:row>
      <xdr:rowOff>28575</xdr:rowOff>
    </xdr:from>
    <xdr:to>
      <xdr:col>2</xdr:col>
      <xdr:colOff>495300</xdr:colOff>
      <xdr:row>3</xdr:row>
      <xdr:rowOff>19050</xdr:rowOff>
    </xdr:to>
    <xdr:sp macro="" textlink="">
      <xdr:nvSpPr>
        <xdr:cNvPr id="8203" name="Line 11">
          <a:extLst>
            <a:ext uri="{FF2B5EF4-FFF2-40B4-BE49-F238E27FC236}">
              <a16:creationId xmlns:a16="http://schemas.microsoft.com/office/drawing/2014/main" xmlns="" id="{00000000-0008-0000-0D00-00000B200000}"/>
            </a:ext>
          </a:extLst>
        </xdr:cNvPr>
        <xdr:cNvSpPr>
          <a:spLocks noChangeShapeType="1"/>
        </xdr:cNvSpPr>
      </xdr:nvSpPr>
      <xdr:spPr bwMode="auto">
        <a:xfrm>
          <a:off x="1552575" y="1133475"/>
          <a:ext cx="0" cy="152400"/>
        </a:xfrm>
        <a:prstGeom prst="line">
          <a:avLst/>
        </a:prstGeom>
        <a:noFill/>
        <a:ln w="9525">
          <a:solidFill>
            <a:srgbClr val="000000"/>
          </a:solidFill>
          <a:round/>
          <a:headEnd/>
          <a:tailEnd/>
        </a:ln>
      </xdr:spPr>
    </xdr:sp>
    <xdr:clientData/>
  </xdr:twoCellAnchor>
  <xdr:twoCellAnchor>
    <xdr:from>
      <xdr:col>7</xdr:col>
      <xdr:colOff>314325</xdr:colOff>
      <xdr:row>6</xdr:row>
      <xdr:rowOff>0</xdr:rowOff>
    </xdr:from>
    <xdr:to>
      <xdr:col>7</xdr:col>
      <xdr:colOff>314325</xdr:colOff>
      <xdr:row>6</xdr:row>
      <xdr:rowOff>0</xdr:rowOff>
    </xdr:to>
    <xdr:sp macro="" textlink="">
      <xdr:nvSpPr>
        <xdr:cNvPr id="8208" name="Line 16">
          <a:extLst>
            <a:ext uri="{FF2B5EF4-FFF2-40B4-BE49-F238E27FC236}">
              <a16:creationId xmlns:a16="http://schemas.microsoft.com/office/drawing/2014/main" xmlns="" id="{00000000-0008-0000-0D00-000010200000}"/>
            </a:ext>
          </a:extLst>
        </xdr:cNvPr>
        <xdr:cNvSpPr>
          <a:spLocks noChangeShapeType="1"/>
        </xdr:cNvSpPr>
      </xdr:nvSpPr>
      <xdr:spPr bwMode="auto">
        <a:xfrm>
          <a:off x="4762500" y="1752600"/>
          <a:ext cx="0" cy="0"/>
        </a:xfrm>
        <a:prstGeom prst="line">
          <a:avLst/>
        </a:prstGeom>
        <a:noFill/>
        <a:ln w="9525">
          <a:solidFill>
            <a:srgbClr val="000000"/>
          </a:solidFill>
          <a:round/>
          <a:headEnd/>
          <a:tailEnd/>
        </a:ln>
      </xdr:spPr>
    </xdr:sp>
    <xdr:clientData/>
  </xdr:twoCellAnchor>
  <xdr:twoCellAnchor>
    <xdr:from>
      <xdr:col>1</xdr:col>
      <xdr:colOff>371475</xdr:colOff>
      <xdr:row>4</xdr:row>
      <xdr:rowOff>19050</xdr:rowOff>
    </xdr:from>
    <xdr:to>
      <xdr:col>2</xdr:col>
      <xdr:colOff>485775</xdr:colOff>
      <xdr:row>5</xdr:row>
      <xdr:rowOff>28575</xdr:rowOff>
    </xdr:to>
    <xdr:sp macro="" textlink="">
      <xdr:nvSpPr>
        <xdr:cNvPr id="8210" name="Text Box 18">
          <a:extLst>
            <a:ext uri="{FF2B5EF4-FFF2-40B4-BE49-F238E27FC236}">
              <a16:creationId xmlns:a16="http://schemas.microsoft.com/office/drawing/2014/main" xmlns="" id="{00000000-0008-0000-0D00-000012200000}"/>
            </a:ext>
          </a:extLst>
        </xdr:cNvPr>
        <xdr:cNvSpPr txBox="1">
          <a:spLocks noChangeArrowheads="1"/>
        </xdr:cNvSpPr>
      </xdr:nvSpPr>
      <xdr:spPr bwMode="auto">
        <a:xfrm>
          <a:off x="647700" y="1447800"/>
          <a:ext cx="895350" cy="1714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   109 days days</a:t>
          </a:r>
        </a:p>
      </xdr:txBody>
    </xdr:sp>
    <xdr:clientData/>
  </xdr:twoCellAnchor>
  <xdr:twoCellAnchor>
    <xdr:from>
      <xdr:col>1</xdr:col>
      <xdr:colOff>342900</xdr:colOff>
      <xdr:row>5</xdr:row>
      <xdr:rowOff>133350</xdr:rowOff>
    </xdr:from>
    <xdr:to>
      <xdr:col>3</xdr:col>
      <xdr:colOff>552450</xdr:colOff>
      <xdr:row>6</xdr:row>
      <xdr:rowOff>0</xdr:rowOff>
    </xdr:to>
    <xdr:sp macro="" textlink="">
      <xdr:nvSpPr>
        <xdr:cNvPr id="8211" name="AutoShape 19">
          <a:extLst>
            <a:ext uri="{FF2B5EF4-FFF2-40B4-BE49-F238E27FC236}">
              <a16:creationId xmlns:a16="http://schemas.microsoft.com/office/drawing/2014/main" xmlns="" id="{00000000-0008-0000-0D00-000013200000}"/>
            </a:ext>
          </a:extLst>
        </xdr:cNvPr>
        <xdr:cNvSpPr>
          <a:spLocks/>
        </xdr:cNvSpPr>
      </xdr:nvSpPr>
      <xdr:spPr bwMode="auto">
        <a:xfrm rot="16200000">
          <a:off x="1490662" y="852488"/>
          <a:ext cx="28575" cy="1771650"/>
        </a:xfrm>
        <a:prstGeom prst="leftBrace">
          <a:avLst>
            <a:gd name="adj1" fmla="val 516667"/>
            <a:gd name="adj2" fmla="val 50000"/>
          </a:avLst>
        </a:prstGeom>
        <a:noFill/>
        <a:ln w="9525">
          <a:solidFill>
            <a:srgbClr val="000000"/>
          </a:solidFill>
          <a:round/>
          <a:headEnd/>
          <a:tailEnd/>
        </a:ln>
      </xdr:spPr>
    </xdr:sp>
    <xdr:clientData/>
  </xdr:twoCellAnchor>
  <xdr:oneCellAnchor>
    <xdr:from>
      <xdr:col>4</xdr:col>
      <xdr:colOff>0</xdr:colOff>
      <xdr:row>17</xdr:row>
      <xdr:rowOff>95250</xdr:rowOff>
    </xdr:from>
    <xdr:ext cx="76200" cy="200025"/>
    <xdr:sp macro="" textlink="">
      <xdr:nvSpPr>
        <xdr:cNvPr id="8212" name="Text Box 20">
          <a:extLst>
            <a:ext uri="{FF2B5EF4-FFF2-40B4-BE49-F238E27FC236}">
              <a16:creationId xmlns:a16="http://schemas.microsoft.com/office/drawing/2014/main" xmlns="" id="{00000000-0008-0000-0D00-000014200000}"/>
            </a:ext>
          </a:extLst>
        </xdr:cNvPr>
        <xdr:cNvSpPr txBox="1">
          <a:spLocks noChangeArrowheads="1"/>
        </xdr:cNvSpPr>
      </xdr:nvSpPr>
      <xdr:spPr bwMode="auto">
        <a:xfrm>
          <a:off x="2619375" y="3629025"/>
          <a:ext cx="76200" cy="200025"/>
        </a:xfrm>
        <a:prstGeom prst="rect">
          <a:avLst/>
        </a:prstGeom>
        <a:noFill/>
        <a:ln w="9525">
          <a:noFill/>
          <a:miter lim="800000"/>
          <a:headEnd/>
          <a:tailEnd/>
        </a:ln>
      </xdr:spPr>
    </xdr:sp>
    <xdr:clientData/>
  </xdr:oneCellAnchor>
  <xdr:twoCellAnchor>
    <xdr:from>
      <xdr:col>2</xdr:col>
      <xdr:colOff>57150</xdr:colOff>
      <xdr:row>6</xdr:row>
      <xdr:rowOff>85725</xdr:rowOff>
    </xdr:from>
    <xdr:to>
      <xdr:col>3</xdr:col>
      <xdr:colOff>209550</xdr:colOff>
      <xdr:row>10</xdr:row>
      <xdr:rowOff>142875</xdr:rowOff>
    </xdr:to>
    <xdr:sp macro="" textlink="">
      <xdr:nvSpPr>
        <xdr:cNvPr id="8213" name="Text Box 21">
          <a:extLst>
            <a:ext uri="{FF2B5EF4-FFF2-40B4-BE49-F238E27FC236}">
              <a16:creationId xmlns:a16="http://schemas.microsoft.com/office/drawing/2014/main" xmlns="" id="{00000000-0008-0000-0D00-000015200000}"/>
            </a:ext>
          </a:extLst>
        </xdr:cNvPr>
        <xdr:cNvSpPr txBox="1">
          <a:spLocks noChangeArrowheads="1"/>
        </xdr:cNvSpPr>
      </xdr:nvSpPr>
      <xdr:spPr bwMode="auto">
        <a:xfrm>
          <a:off x="1114425" y="1838325"/>
          <a:ext cx="933450" cy="7048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   365 days</a:t>
          </a:r>
        </a:p>
        <a:p>
          <a:pPr algn="l" rtl="0">
            <a:defRPr sz="1000"/>
          </a:pPr>
          <a:endParaRPr lang="en-US" sz="1000" b="0" i="0" strike="noStrike">
            <a:solidFill>
              <a:srgbClr val="000000"/>
            </a:solidFill>
            <a:latin typeface="Arial"/>
            <a:cs typeface="Arial"/>
          </a:endParaRPr>
        </a:p>
        <a:p>
          <a:pPr algn="l" rtl="0">
            <a:defRPr sz="1000"/>
          </a:pPr>
          <a:r>
            <a:rPr lang="en-US" sz="1000" b="0" i="0" strike="noStrike">
              <a:solidFill>
                <a:srgbClr val="000000"/>
              </a:solidFill>
              <a:latin typeface="Arial"/>
              <a:cs typeface="Arial"/>
            </a:rPr>
            <a:t>   $70 Coupon </a:t>
          </a:r>
        </a:p>
        <a:p>
          <a:pPr algn="l" rtl="0">
            <a:defRPr sz="1000"/>
          </a:pPr>
          <a:r>
            <a:rPr lang="en-US" sz="1000" b="0" i="0" strike="noStrike">
              <a:solidFill>
                <a:srgbClr val="000000"/>
              </a:solidFill>
              <a:latin typeface="Arial"/>
              <a:cs typeface="Arial"/>
            </a:rPr>
            <a:t>  for this period</a:t>
          </a:r>
        </a:p>
      </xdr:txBody>
    </xdr:sp>
    <xdr:clientData/>
  </xdr:twoCellAnchor>
  <xdr:twoCellAnchor>
    <xdr:from>
      <xdr:col>1</xdr:col>
      <xdr:colOff>342900</xdr:colOff>
      <xdr:row>3</xdr:row>
      <xdr:rowOff>85725</xdr:rowOff>
    </xdr:from>
    <xdr:to>
      <xdr:col>2</xdr:col>
      <xdr:colOff>485775</xdr:colOff>
      <xdr:row>3</xdr:row>
      <xdr:rowOff>114300</xdr:rowOff>
    </xdr:to>
    <xdr:sp macro="" textlink="">
      <xdr:nvSpPr>
        <xdr:cNvPr id="8226" name="AutoShape 34">
          <a:extLst>
            <a:ext uri="{FF2B5EF4-FFF2-40B4-BE49-F238E27FC236}">
              <a16:creationId xmlns:a16="http://schemas.microsoft.com/office/drawing/2014/main" xmlns="" id="{00000000-0008-0000-0D00-000022200000}"/>
            </a:ext>
          </a:extLst>
        </xdr:cNvPr>
        <xdr:cNvSpPr>
          <a:spLocks/>
        </xdr:cNvSpPr>
      </xdr:nvSpPr>
      <xdr:spPr bwMode="auto">
        <a:xfrm rot="16200000">
          <a:off x="1066800" y="904875"/>
          <a:ext cx="28575" cy="923925"/>
        </a:xfrm>
        <a:prstGeom prst="leftBrace">
          <a:avLst>
            <a:gd name="adj1" fmla="val 269444"/>
            <a:gd name="adj2" fmla="val 50000"/>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0</xdr:col>
          <xdr:colOff>114300</xdr:colOff>
          <xdr:row>11</xdr:row>
          <xdr:rowOff>66675</xdr:rowOff>
        </xdr:from>
        <xdr:to>
          <xdr:col>3</xdr:col>
          <xdr:colOff>28575</xdr:colOff>
          <xdr:row>13</xdr:row>
          <xdr:rowOff>133350</xdr:rowOff>
        </xdr:to>
        <xdr:sp macro="" textlink="">
          <xdr:nvSpPr>
            <xdr:cNvPr id="8228" name="Object 36" hidden="1">
              <a:extLst>
                <a:ext uri="{63B3BB69-23CF-44E3-9099-C40C66FF867C}">
                  <a14:compatExt spid="_x0000_s8228"/>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18</xdr:col>
      <xdr:colOff>0</xdr:colOff>
      <xdr:row>2</xdr:row>
      <xdr:rowOff>0</xdr:rowOff>
    </xdr:from>
    <xdr:to>
      <xdr:col>18</xdr:col>
      <xdr:colOff>260350</xdr:colOff>
      <xdr:row>3</xdr:row>
      <xdr:rowOff>19050</xdr:rowOff>
    </xdr:to>
    <xdr:pic>
      <xdr:nvPicPr>
        <xdr:cNvPr id="3" name="Picture 2" descr="http://online.wsj.com/img/cal.gif">
          <a:hlinkClick xmlns:r="http://schemas.openxmlformats.org/officeDocument/2006/relationships" r:id="rId1"/>
          <a:extLst>
            <a:ext uri="{FF2B5EF4-FFF2-40B4-BE49-F238E27FC236}">
              <a16:creationId xmlns:a16="http://schemas.microsoft.com/office/drawing/2014/main" xmlns="" id="{00000000-0008-0000-18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8750" y="387350"/>
          <a:ext cx="260350" cy="184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66674</xdr:colOff>
      <xdr:row>11</xdr:row>
      <xdr:rowOff>25400</xdr:rowOff>
    </xdr:from>
    <xdr:to>
      <xdr:col>10</xdr:col>
      <xdr:colOff>577849</xdr:colOff>
      <xdr:row>30</xdr:row>
      <xdr:rowOff>139700</xdr:rowOff>
    </xdr:to>
    <xdr:graphicFrame macro="">
      <xdr:nvGraphicFramePr>
        <xdr:cNvPr id="5" name="Chart 4">
          <a:extLst>
            <a:ext uri="{FF2B5EF4-FFF2-40B4-BE49-F238E27FC236}">
              <a16:creationId xmlns:a16="http://schemas.microsoft.com/office/drawing/2014/main" xmlns="" id="{00000000-0008-0000-18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3</xdr:row>
      <xdr:rowOff>0</xdr:rowOff>
    </xdr:from>
    <xdr:to>
      <xdr:col>12</xdr:col>
      <xdr:colOff>304800</xdr:colOff>
      <xdr:row>20</xdr:row>
      <xdr:rowOff>87630</xdr:rowOff>
    </xdr:to>
    <xdr:graphicFrame macro="">
      <xdr:nvGraphicFramePr>
        <xdr:cNvPr id="3" name="Chart 2">
          <a:extLst>
            <a:ext uri="{FF2B5EF4-FFF2-40B4-BE49-F238E27FC236}">
              <a16:creationId xmlns:a16="http://schemas.microsoft.com/office/drawing/2014/main" xmlns="" id="{00000000-0008-0000-19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4</xdr:col>
      <xdr:colOff>41910</xdr:colOff>
      <xdr:row>6</xdr:row>
      <xdr:rowOff>87630</xdr:rowOff>
    </xdr:from>
    <xdr:to>
      <xdr:col>10</xdr:col>
      <xdr:colOff>529590</xdr:colOff>
      <xdr:row>23</xdr:row>
      <xdr:rowOff>121920</xdr:rowOff>
    </xdr:to>
    <xdr:graphicFrame macro="">
      <xdr:nvGraphicFramePr>
        <xdr:cNvPr id="2" name="Chart 1">
          <a:extLst>
            <a:ext uri="{FF2B5EF4-FFF2-40B4-BE49-F238E27FC236}">
              <a16:creationId xmlns:a16="http://schemas.microsoft.com/office/drawing/2014/main" xmlns="" id="{00000000-0008-0000-1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523875</xdr:colOff>
      <xdr:row>19</xdr:row>
      <xdr:rowOff>19050</xdr:rowOff>
    </xdr:from>
    <xdr:to>
      <xdr:col>3</xdr:col>
      <xdr:colOff>895350</xdr:colOff>
      <xdr:row>35</xdr:row>
      <xdr:rowOff>152400</xdr:rowOff>
    </xdr:to>
    <xdr:graphicFrame macro="">
      <xdr:nvGraphicFramePr>
        <xdr:cNvPr id="2" name="Chart 1025">
          <a:extLst>
            <a:ext uri="{FF2B5EF4-FFF2-40B4-BE49-F238E27FC236}">
              <a16:creationId xmlns:a16="http://schemas.microsoft.com/office/drawing/2014/main" xmlns="" id="{00000000-0008-0000-2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523875</xdr:colOff>
      <xdr:row>25</xdr:row>
      <xdr:rowOff>19050</xdr:rowOff>
    </xdr:from>
    <xdr:to>
      <xdr:col>3</xdr:col>
      <xdr:colOff>914400</xdr:colOff>
      <xdr:row>41</xdr:row>
      <xdr:rowOff>104775</xdr:rowOff>
    </xdr:to>
    <xdr:graphicFrame macro="">
      <xdr:nvGraphicFramePr>
        <xdr:cNvPr id="2" name="Chart 1">
          <a:extLst>
            <a:ext uri="{FF2B5EF4-FFF2-40B4-BE49-F238E27FC236}">
              <a16:creationId xmlns:a16="http://schemas.microsoft.com/office/drawing/2014/main" xmlns="" id="{00000000-0008-0000-2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676275</xdr:colOff>
      <xdr:row>8</xdr:row>
      <xdr:rowOff>76200</xdr:rowOff>
    </xdr:from>
    <xdr:to>
      <xdr:col>10</xdr:col>
      <xdr:colOff>333375</xdr:colOff>
      <xdr:row>27</xdr:row>
      <xdr:rowOff>142875</xdr:rowOff>
    </xdr:to>
    <xdr:graphicFrame macro="">
      <xdr:nvGraphicFramePr>
        <xdr:cNvPr id="2" name="Chart 1">
          <a:extLst>
            <a:ext uri="{FF2B5EF4-FFF2-40B4-BE49-F238E27FC236}">
              <a16:creationId xmlns:a16="http://schemas.microsoft.com/office/drawing/2014/main" xmlns="" id="{00000000-0008-0000-2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Tal Mofkadi" refreshedDate="41927.546166435182" createdVersion="5" refreshedVersion="5" minRefreshableVersion="3" recordCount="354">
  <cacheSource type="worksheet">
    <worksheetSource ref="S6:W360" sheet="Page 489"/>
  </cacheSource>
  <cacheFields count="5">
    <cacheField name="Maturity" numFmtId="0">
      <sharedItems containsNonDate="0" containsDate="1" containsString="0" containsBlank="1" minDate="2014-11-15T00:00:00" maxDate="2044-05-16T00:00:00" count="184">
        <m/>
        <d v="2014-11-15T00:00:00"/>
        <d v="2014-12-15T00:00:00"/>
        <d v="2014-12-31T00:00:00"/>
        <d v="2015-01-15T00:00:00"/>
        <d v="2015-02-15T00:00:00"/>
        <d v="2015-03-15T00:00:00"/>
        <d v="2015-04-15T00:00:00"/>
        <d v="2015-05-15T00:00:00"/>
        <d v="2015-05-31T00:00:00"/>
        <d v="2015-06-15T00:00:00"/>
        <d v="2015-06-30T00:00:00"/>
        <d v="2015-07-15T00:00:00"/>
        <d v="2015-07-31T00:00:00"/>
        <d v="2015-08-15T00:00:00"/>
        <d v="2015-08-31T00:00:00"/>
        <d v="2015-09-15T00:00:00"/>
        <d v="2015-09-30T00:00:00"/>
        <d v="2015-10-15T00:00:00"/>
        <d v="2015-10-31T00:00:00"/>
        <d v="2015-11-15T00:00:00"/>
        <d v="2015-11-30T00:00:00"/>
        <d v="2015-12-15T00:00:00"/>
        <d v="2015-12-31T00:00:00"/>
        <d v="2016-01-15T00:00:00"/>
        <d v="2016-01-31T00:00:00"/>
        <d v="2016-02-15T00:00:00"/>
        <d v="2016-03-15T00:00:00"/>
        <d v="2016-04-15T00:00:00"/>
        <d v="2016-05-15T00:00:00"/>
        <d v="2016-06-15T00:00:00"/>
        <d v="2016-06-30T00:00:00"/>
        <d v="2016-07-15T00:00:00"/>
        <d v="2016-08-15T00:00:00"/>
        <d v="2016-09-15T00:00:00"/>
        <d v="2016-10-15T00:00:00"/>
        <d v="2016-11-15T00:00:00"/>
        <d v="2016-12-15T00:00:00"/>
        <d v="2016-12-31T00:00:00"/>
        <d v="2017-02-15T00:00:00"/>
        <d v="2017-05-15T00:00:00"/>
        <d v="2017-08-15T00:00:00"/>
        <d v="2017-11-15T00:00:00"/>
        <d v="2018-01-31T00:00:00"/>
        <d v="2018-02-15T00:00:00"/>
        <d v="2018-02-28T00:00:00"/>
        <d v="2018-03-31T00:00:00"/>
        <d v="2018-04-30T00:00:00"/>
        <d v="2018-05-15T00:00:00"/>
        <d v="2018-05-31T00:00:00"/>
        <d v="2018-06-30T00:00:00"/>
        <d v="2018-07-31T00:00:00"/>
        <d v="2018-08-15T00:00:00"/>
        <d v="2018-08-31T00:00:00"/>
        <d v="2018-09-30T00:00:00"/>
        <d v="2018-10-31T00:00:00"/>
        <d v="2018-11-15T00:00:00"/>
        <d v="2018-11-30T00:00:00"/>
        <d v="2018-12-31T00:00:00"/>
        <d v="2019-01-31T00:00:00"/>
        <d v="2019-02-15T00:00:00"/>
        <d v="2019-02-28T00:00:00"/>
        <d v="2019-03-31T00:00:00"/>
        <d v="2019-04-30T00:00:00"/>
        <d v="2019-05-15T00:00:00"/>
        <d v="2019-05-31T00:00:00"/>
        <d v="2019-06-30T00:00:00"/>
        <d v="2019-07-31T00:00:00"/>
        <d v="2019-08-15T00:00:00"/>
        <d v="2019-08-31T00:00:00"/>
        <d v="2019-09-30T00:00:00"/>
        <d v="2019-10-31T00:00:00"/>
        <d v="2019-11-15T00:00:00"/>
        <d v="2019-11-30T00:00:00"/>
        <d v="2019-12-31T00:00:00"/>
        <d v="2020-01-31T00:00:00"/>
        <d v="2020-02-15T00:00:00"/>
        <d v="2020-02-29T00:00:00"/>
        <d v="2020-03-31T00:00:00"/>
        <d v="2020-04-30T00:00:00"/>
        <d v="2020-05-15T00:00:00"/>
        <d v="2020-05-31T00:00:00"/>
        <d v="2020-06-30T00:00:00"/>
        <d v="2020-07-31T00:00:00"/>
        <d v="2020-08-15T00:00:00"/>
        <d v="2020-08-31T00:00:00"/>
        <d v="2020-09-30T00:00:00"/>
        <d v="2020-10-31T00:00:00"/>
        <d v="2020-11-15T00:00:00"/>
        <d v="2020-11-30T00:00:00"/>
        <d v="2021-02-15T00:00:00"/>
        <d v="2021-05-15T00:00:00"/>
        <d v="2021-08-15T00:00:00"/>
        <d v="2021-11-15T00:00:00"/>
        <d v="2022-02-15T00:00:00"/>
        <d v="2022-05-15T00:00:00"/>
        <d v="2022-08-15T00:00:00"/>
        <d v="2022-11-15T00:00:00"/>
        <d v="2023-02-15T00:00:00"/>
        <d v="2023-05-15T00:00:00"/>
        <d v="2023-08-15T00:00:00"/>
        <d v="2023-11-15T00:00:00"/>
        <d v="2024-02-15T00:00:00"/>
        <d v="2024-05-15T00:00:00"/>
        <d v="2024-08-15T00:00:00"/>
        <d v="2024-11-15T00:00:00"/>
        <d v="2025-02-15T00:00:00"/>
        <d v="2025-05-15T00:00:00"/>
        <d v="2025-08-15T00:00:00"/>
        <d v="2025-11-15T00:00:00"/>
        <d v="2026-02-15T00:00:00"/>
        <d v="2026-05-15T00:00:00"/>
        <d v="2026-08-15T00:00:00"/>
        <d v="2026-11-15T00:00:00"/>
        <d v="2027-02-15T00:00:00"/>
        <d v="2027-05-15T00:00:00"/>
        <d v="2027-08-15T00:00:00"/>
        <d v="2027-11-15T00:00:00"/>
        <d v="2028-02-15T00:00:00"/>
        <d v="2028-05-15T00:00:00"/>
        <d v="2028-08-15T00:00:00"/>
        <d v="2028-11-15T00:00:00"/>
        <d v="2029-02-15T00:00:00"/>
        <d v="2029-05-15T00:00:00"/>
        <d v="2029-08-15T00:00:00"/>
        <d v="2029-11-15T00:00:00"/>
        <d v="2030-02-15T00:00:00"/>
        <d v="2030-05-15T00:00:00"/>
        <d v="2030-08-15T00:00:00"/>
        <d v="2030-11-15T00:00:00"/>
        <d v="2031-02-15T00:00:00"/>
        <d v="2031-05-15T00:00:00"/>
        <d v="2031-08-15T00:00:00"/>
        <d v="2031-11-15T00:00:00"/>
        <d v="2032-02-15T00:00:00"/>
        <d v="2032-05-15T00:00:00"/>
        <d v="2032-08-15T00:00:00"/>
        <d v="2032-11-15T00:00:00"/>
        <d v="2033-02-15T00:00:00"/>
        <d v="2033-05-15T00:00:00"/>
        <d v="2033-08-15T00:00:00"/>
        <d v="2033-11-15T00:00:00"/>
        <d v="2034-02-15T00:00:00"/>
        <d v="2034-05-15T00:00:00"/>
        <d v="2034-08-15T00:00:00"/>
        <d v="2034-11-15T00:00:00"/>
        <d v="2035-02-15T00:00:00"/>
        <d v="2035-05-15T00:00:00"/>
        <d v="2035-08-15T00:00:00"/>
        <d v="2035-11-15T00:00:00"/>
        <d v="2036-02-15T00:00:00"/>
        <d v="2036-05-15T00:00:00"/>
        <d v="2036-08-15T00:00:00"/>
        <d v="2036-11-15T00:00:00"/>
        <d v="2037-02-15T00:00:00"/>
        <d v="2037-05-15T00:00:00"/>
        <d v="2037-08-15T00:00:00"/>
        <d v="2037-11-15T00:00:00"/>
        <d v="2038-02-15T00:00:00"/>
        <d v="2038-05-15T00:00:00"/>
        <d v="2038-08-15T00:00:00"/>
        <d v="2038-11-15T00:00:00"/>
        <d v="2039-02-15T00:00:00"/>
        <d v="2039-05-15T00:00:00"/>
        <d v="2039-08-15T00:00:00"/>
        <d v="2039-11-15T00:00:00"/>
        <d v="2040-02-15T00:00:00"/>
        <d v="2040-05-15T00:00:00"/>
        <d v="2040-08-15T00:00:00"/>
        <d v="2040-11-15T00:00:00"/>
        <d v="2041-02-15T00:00:00"/>
        <d v="2041-05-15T00:00:00"/>
        <d v="2041-08-15T00:00:00"/>
        <d v="2041-11-15T00:00:00"/>
        <d v="2042-02-15T00:00:00"/>
        <d v="2042-05-15T00:00:00"/>
        <d v="2042-08-15T00:00:00"/>
        <d v="2042-11-15T00:00:00"/>
        <d v="2043-02-15T00:00:00"/>
        <d v="2043-05-15T00:00:00"/>
        <d v="2043-08-15T00:00:00"/>
        <d v="2043-11-15T00:00:00"/>
        <d v="2044-02-15T00:00:00"/>
        <d v="2044-05-15T00:00:00"/>
      </sharedItems>
    </cacheField>
    <cacheField name="Bid" numFmtId="0">
      <sharedItems containsString="0" containsBlank="1" containsNumber="1" minValue="30.777000000000001" maxValue="99.998999999999995"/>
    </cacheField>
    <cacheField name="Asked" numFmtId="0">
      <sharedItems containsString="0" containsBlank="1" containsNumber="1" minValue="30.866" maxValue="100"/>
    </cacheField>
    <cacheField name="Chg" numFmtId="0">
      <sharedItems containsBlank="1" containsMixedTypes="1" containsNumber="1" minValue="-0.41399999999999998" maxValue="1.004"/>
    </cacheField>
    <cacheField name="Asked2" numFmtId="0">
      <sharedItems containsMixedTypes="1" containsNumber="1" minValue="0" maxValue="3.99"/>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54">
  <r>
    <x v="0"/>
    <m/>
    <m/>
    <m/>
    <s v="yield"/>
  </r>
  <r>
    <x v="1"/>
    <n v="99.998999999999995"/>
    <n v="100"/>
    <n v="3.0000000000000001E-3"/>
    <n v="0"/>
  </r>
  <r>
    <x v="1"/>
    <n v="99.995999999999995"/>
    <n v="99.997"/>
    <s v="unch."/>
    <n v="0.04"/>
  </r>
  <r>
    <x v="2"/>
    <n v="99.992999999999995"/>
    <n v="99.995000000000005"/>
    <s v="unch."/>
    <n v="0.03"/>
  </r>
  <r>
    <x v="2"/>
    <n v="99.99"/>
    <n v="99.992000000000004"/>
    <s v="unch."/>
    <n v="0.05"/>
  </r>
  <r>
    <x v="3"/>
    <n v="99.986999999999995"/>
    <n v="99.989000000000004"/>
    <s v="unch."/>
    <n v="0.05"/>
  </r>
  <r>
    <x v="4"/>
    <n v="99.991"/>
    <n v="99.992999999999995"/>
    <n v="-2E-3"/>
    <n v="0.03"/>
  </r>
  <r>
    <x v="4"/>
    <n v="99.992999999999995"/>
    <n v="99.995000000000005"/>
    <s v="unch."/>
    <n v="0.02"/>
  </r>
  <r>
    <x v="5"/>
    <n v="99.988"/>
    <n v="99.992000000000004"/>
    <s v="unch."/>
    <n v="0.03"/>
  </r>
  <r>
    <x v="5"/>
    <n v="99.986999999999995"/>
    <n v="99.99"/>
    <s v="unch."/>
    <n v="0.03"/>
  </r>
  <r>
    <x v="5"/>
    <n v="99.989000000000004"/>
    <n v="99.992000000000004"/>
    <n v="2E-3"/>
    <n v="0.02"/>
  </r>
  <r>
    <x v="5"/>
    <n v="99.988"/>
    <n v="99.992000000000004"/>
    <s v="unch."/>
    <n v="0.03"/>
  </r>
  <r>
    <x v="6"/>
    <n v="99.977999999999994"/>
    <n v="99.981999999999999"/>
    <n v="-1E-3"/>
    <n v="0.04"/>
  </r>
  <r>
    <x v="6"/>
    <n v="99.965000000000003"/>
    <n v="99.968999999999994"/>
    <n v="1E-3"/>
    <n v="0.08"/>
  </r>
  <r>
    <x v="7"/>
    <n v="99.972999999999999"/>
    <n v="99.977999999999994"/>
    <n v="-2E-3"/>
    <n v="0.05"/>
  </r>
  <r>
    <x v="7"/>
    <n v="99.947999999999993"/>
    <n v="99.953000000000003"/>
    <n v="1E-3"/>
    <n v="0.09"/>
  </r>
  <r>
    <x v="8"/>
    <n v="99.962999999999994"/>
    <n v="99.968000000000004"/>
    <n v="-8.0000000000000002E-3"/>
    <n v="0.05"/>
  </r>
  <r>
    <x v="8"/>
    <n v="99.968000000000004"/>
    <n v="99.974000000000004"/>
    <s v="unch."/>
    <n v="0.05"/>
  </r>
  <r>
    <x v="9"/>
    <n v="99.959000000000003"/>
    <n v="99.965999999999994"/>
    <s v="unch."/>
    <n v="0.05"/>
  </r>
  <r>
    <x v="10"/>
    <n v="99.95"/>
    <n v="99.956999999999994"/>
    <n v="2E-3"/>
    <n v="0.06"/>
  </r>
  <r>
    <x v="10"/>
    <n v="99.93"/>
    <n v="99.936999999999998"/>
    <s v="unch."/>
    <n v="0.09"/>
  </r>
  <r>
    <x v="11"/>
    <n v="99.947000000000003"/>
    <n v="99.953999999999994"/>
    <n v="-3.0000000000000001E-3"/>
    <n v="0.06"/>
  </r>
  <r>
    <x v="11"/>
    <n v="99.926000000000002"/>
    <n v="99.933000000000007"/>
    <n v="1E-3"/>
    <n v="0.09"/>
  </r>
  <r>
    <x v="12"/>
    <n v="99.938000000000002"/>
    <n v="99.945999999999998"/>
    <n v="-2E-3"/>
    <n v="7.0000000000000007E-2"/>
  </r>
  <r>
    <x v="12"/>
    <n v="99.891999999999996"/>
    <n v="99.9"/>
    <n v="1E-3"/>
    <n v="0.13"/>
  </r>
  <r>
    <x v="13"/>
    <n v="99.942999999999998"/>
    <n v="99.950999999999993"/>
    <s v="unch."/>
    <n v="0.06"/>
  </r>
  <r>
    <x v="14"/>
    <n v="99.927999999999997"/>
    <n v="99.936000000000007"/>
    <n v="1E-3"/>
    <n v="0.08"/>
  </r>
  <r>
    <x v="14"/>
    <n v="99.918000000000006"/>
    <n v="99.926000000000002"/>
    <n v="-5.0000000000000001E-3"/>
    <n v="0.09"/>
  </r>
  <r>
    <x v="14"/>
    <n v="99.927999999999997"/>
    <n v="99.936000000000007"/>
    <n v="1E-3"/>
    <n v="0.08"/>
  </r>
  <r>
    <x v="15"/>
    <n v="99.927000000000007"/>
    <n v="99.935000000000002"/>
    <n v="-5.0000000000000001E-3"/>
    <n v="7.0000000000000007E-2"/>
  </r>
  <r>
    <x v="16"/>
    <n v="99.918999999999997"/>
    <n v="99.927999999999997"/>
    <n v="-1E-3"/>
    <n v="0.08"/>
  </r>
  <r>
    <x v="16"/>
    <n v="99.88"/>
    <n v="99.888999999999996"/>
    <n v="1E-3"/>
    <n v="0.12"/>
  </r>
  <r>
    <x v="17"/>
    <n v="99.908000000000001"/>
    <n v="99.917000000000002"/>
    <n v="6.0000000000000001E-3"/>
    <n v="0.09"/>
  </r>
  <r>
    <x v="18"/>
    <n v="99.888999999999996"/>
    <n v="99.899000000000001"/>
    <n v="6.0000000000000001E-3"/>
    <n v="0.1"/>
  </r>
  <r>
    <x v="18"/>
    <n v="99.885999999999996"/>
    <n v="99.896000000000001"/>
    <n v="2.1000000000000001E-2"/>
    <n v="0.1"/>
  </r>
  <r>
    <x v="19"/>
    <n v="99.879000000000005"/>
    <n v="99.888999999999996"/>
    <n v="1.4999999999999999E-2"/>
    <n v="0.11"/>
  </r>
  <r>
    <x v="20"/>
    <n v="99.863"/>
    <n v="99.873999999999995"/>
    <n v="2.3E-2"/>
    <n v="0.12"/>
  </r>
  <r>
    <x v="20"/>
    <n v="99.843999999999994"/>
    <n v="99.855000000000004"/>
    <n v="1.7000000000000001E-2"/>
    <n v="0.13"/>
  </r>
  <r>
    <x v="20"/>
    <n v="99.863"/>
    <n v="99.873999999999995"/>
    <n v="2.3E-2"/>
    <n v="0.12"/>
  </r>
  <r>
    <x v="21"/>
    <n v="99.840999999999994"/>
    <n v="99.852000000000004"/>
    <n v="2.1000000000000001E-2"/>
    <n v="0.13"/>
  </r>
  <r>
    <x v="22"/>
    <n v="99.822000000000003"/>
    <n v="99.834000000000003"/>
    <n v="2.1999999999999999E-2"/>
    <n v="0.14000000000000001"/>
  </r>
  <r>
    <x v="22"/>
    <n v="99.822000000000003"/>
    <n v="99.834000000000003"/>
    <n v="2.1999999999999999E-2"/>
    <n v="0.14000000000000001"/>
  </r>
  <r>
    <x v="23"/>
    <n v="99.813999999999993"/>
    <n v="99.825999999999993"/>
    <n v="2.8000000000000001E-2"/>
    <n v="0.14000000000000001"/>
  </r>
  <r>
    <x v="23"/>
    <n v="99.787000000000006"/>
    <n v="99.799000000000007"/>
    <n v="2.5000000000000001E-2"/>
    <n v="0.17"/>
  </r>
  <r>
    <x v="24"/>
    <n v="99.781999999999996"/>
    <n v="99.795000000000002"/>
    <n v="2.9000000000000001E-2"/>
    <n v="0.16"/>
  </r>
  <r>
    <x v="24"/>
    <n v="99.77"/>
    <n v="99.781999999999996"/>
    <n v="0.03"/>
    <n v="0.17"/>
  </r>
  <r>
    <x v="25"/>
    <n v="99.757000000000005"/>
    <n v="99.77"/>
    <n v="2.7E-2"/>
    <n v="0.18"/>
  </r>
  <r>
    <x v="26"/>
    <n v="99.745000000000005"/>
    <n v="99.757999999999996"/>
    <n v="3.1E-2"/>
    <n v="0.18"/>
  </r>
  <r>
    <x v="26"/>
    <n v="99.731999999999999"/>
    <n v="99.745000000000005"/>
    <n v="3.1E-2"/>
    <n v="0.19"/>
  </r>
  <r>
    <x v="26"/>
    <n v="99.745000000000005"/>
    <n v="99.757999999999996"/>
    <n v="3.1E-2"/>
    <n v="0.18"/>
  </r>
  <r>
    <x v="27"/>
    <n v="99.683999999999997"/>
    <n v="99.697999999999993"/>
    <n v="4.8000000000000001E-2"/>
    <n v="0.21"/>
  </r>
  <r>
    <x v="27"/>
    <n v="99.659000000000006"/>
    <n v="99.673000000000002"/>
    <n v="3.3000000000000002E-2"/>
    <n v="0.23"/>
  </r>
  <r>
    <x v="28"/>
    <n v="99.649000000000001"/>
    <n v="99.664000000000001"/>
    <n v="7.5999999999999998E-2"/>
    <n v="0.22"/>
  </r>
  <r>
    <x v="29"/>
    <n v="99.587000000000003"/>
    <n v="99.602999999999994"/>
    <n v="8.4000000000000005E-2"/>
    <n v="0.25"/>
  </r>
  <r>
    <x v="29"/>
    <n v="99.611000000000004"/>
    <n v="99.626999999999995"/>
    <n v="7.6999999999999999E-2"/>
    <n v="0.24"/>
  </r>
  <r>
    <x v="29"/>
    <n v="99.587000000000003"/>
    <n v="99.602999999999994"/>
    <n v="8.4000000000000005E-2"/>
    <n v="0.25"/>
  </r>
  <r>
    <x v="30"/>
    <n v="99.539000000000001"/>
    <n v="99.555000000000007"/>
    <n v="9.4E-2"/>
    <n v="0.27"/>
  </r>
  <r>
    <x v="30"/>
    <n v="99.483000000000004"/>
    <n v="99.498999999999995"/>
    <n v="8.8999999999999996E-2"/>
    <n v="0.3"/>
  </r>
  <r>
    <x v="31"/>
    <n v="99.47"/>
    <n v="99.486999999999995"/>
    <n v="9.0999999999999998E-2"/>
    <n v="0.3"/>
  </r>
  <r>
    <x v="32"/>
    <n v="99.462999999999994"/>
    <n v="99.480999999999995"/>
    <n v="0.109"/>
    <n v="0.3"/>
  </r>
  <r>
    <x v="32"/>
    <n v="99.24"/>
    <n v="99.257000000000005"/>
    <n v="9.2999999999999999E-2"/>
    <n v="0.43"/>
  </r>
  <r>
    <x v="33"/>
    <n v="99.335999999999999"/>
    <n v="99.353999999999999"/>
    <n v="0.13"/>
    <n v="0.35"/>
  </r>
  <r>
    <x v="33"/>
    <n v="99.376999999999995"/>
    <n v="99.394999999999996"/>
    <n v="0.13"/>
    <n v="0.33"/>
  </r>
  <r>
    <x v="33"/>
    <n v="99.295000000000002"/>
    <n v="99.313000000000002"/>
    <n v="9.8000000000000004E-2"/>
    <n v="0.38"/>
  </r>
  <r>
    <x v="34"/>
    <n v="99.283000000000001"/>
    <n v="99.302000000000007"/>
    <n v="0.13400000000000001"/>
    <n v="0.37"/>
  </r>
  <r>
    <x v="34"/>
    <n v="99.171999999999997"/>
    <n v="99.191000000000003"/>
    <n v="0.106"/>
    <n v="0.42"/>
  </r>
  <r>
    <x v="35"/>
    <n v="99.168999999999997"/>
    <n v="99.188999999999993"/>
    <n v="0.13200000000000001"/>
    <n v="0.41"/>
  </r>
  <r>
    <x v="35"/>
    <n v="98.974000000000004"/>
    <n v="98.994"/>
    <n v="0.14099999999999999"/>
    <n v="0.51"/>
  </r>
  <r>
    <x v="36"/>
    <n v="99.034000000000006"/>
    <n v="99.054000000000002"/>
    <n v="0.14699999999999999"/>
    <n v="0.46"/>
  </r>
  <r>
    <x v="36"/>
    <n v="98.992999999999995"/>
    <n v="99.013000000000005"/>
    <n v="0.157"/>
    <n v="0.48"/>
  </r>
  <r>
    <x v="36"/>
    <n v="99.055000000000007"/>
    <n v="99.075000000000003"/>
    <n v="0.14699999999999999"/>
    <n v="0.45"/>
  </r>
  <r>
    <x v="36"/>
    <n v="99.034000000000006"/>
    <n v="99.054000000000002"/>
    <n v="0.14699999999999999"/>
    <n v="0.46"/>
  </r>
  <r>
    <x v="37"/>
    <n v="98.983000000000004"/>
    <n v="99.004000000000005"/>
    <n v="0.17699999999999999"/>
    <n v="0.46"/>
  </r>
  <r>
    <x v="37"/>
    <n v="98.893000000000001"/>
    <n v="98.915000000000006"/>
    <n v="0.156"/>
    <n v="0.5"/>
  </r>
  <r>
    <x v="38"/>
    <n v="98.872"/>
    <n v="98.894000000000005"/>
    <n v="0.17199999999999999"/>
    <n v="0.5"/>
  </r>
  <r>
    <x v="38"/>
    <n v="98.876999999999995"/>
    <n v="98.897999999999996"/>
    <n v="0.17899999999999999"/>
    <n v="0.5"/>
  </r>
  <r>
    <x v="38"/>
    <n v="98.861999999999995"/>
    <n v="98.884"/>
    <n v="0.155"/>
    <n v="0.51"/>
  </r>
  <r>
    <x v="39"/>
    <n v="98.674000000000007"/>
    <n v="98.697000000000003"/>
    <n v="0.17399999999999999"/>
    <n v="0.56000000000000005"/>
  </r>
  <r>
    <x v="39"/>
    <n v="98.57"/>
    <n v="98.593000000000004"/>
    <n v="0.16400000000000001"/>
    <n v="0.61"/>
  </r>
  <r>
    <x v="40"/>
    <n v="98.286000000000001"/>
    <n v="98.311000000000007"/>
    <n v="0.217"/>
    <n v="0.66"/>
  </r>
  <r>
    <x v="40"/>
    <n v="98.343000000000004"/>
    <n v="98.367999999999995"/>
    <n v="0.223"/>
    <n v="0.64"/>
  </r>
  <r>
    <x v="40"/>
    <n v="98.292000000000002"/>
    <n v="98.316999999999993"/>
    <n v="0.223"/>
    <n v="0.66"/>
  </r>
  <r>
    <x v="41"/>
    <n v="97.858999999999995"/>
    <n v="97.885999999999996"/>
    <n v="0.25800000000000001"/>
    <n v="0.75"/>
  </r>
  <r>
    <x v="41"/>
    <n v="97.775999999999996"/>
    <n v="97.802999999999997"/>
    <n v="0.25700000000000001"/>
    <n v="0.79"/>
  </r>
  <r>
    <x v="41"/>
    <n v="97.796999999999997"/>
    <n v="97.823999999999998"/>
    <n v="0.25800000000000001"/>
    <n v="0.78"/>
  </r>
  <r>
    <x v="42"/>
    <n v="97.29"/>
    <n v="97.32"/>
    <n v="0.28499999999999998"/>
    <n v="0.88"/>
  </r>
  <r>
    <x v="42"/>
    <n v="97.186000000000007"/>
    <n v="97.215999999999994"/>
    <n v="0.27800000000000002"/>
    <n v="0.92"/>
  </r>
  <r>
    <x v="43"/>
    <n v="96.804000000000002"/>
    <n v="96.835999999999999"/>
    <n v="0.312"/>
    <n v="0.98"/>
  </r>
  <r>
    <x v="43"/>
    <n v="96.483000000000004"/>
    <n v="96.513999999999996"/>
    <n v="0.31900000000000001"/>
    <n v="1.08"/>
  </r>
  <r>
    <x v="44"/>
    <n v="96.688000000000002"/>
    <n v="96.72"/>
    <n v="0.32300000000000001"/>
    <n v="1"/>
  </r>
  <r>
    <x v="44"/>
    <n v="96.6"/>
    <n v="96.632000000000005"/>
    <n v="0.32300000000000001"/>
    <n v="1.03"/>
  </r>
  <r>
    <x v="45"/>
    <n v="96.614999999999995"/>
    <n v="96.647000000000006"/>
    <n v="0.32300000000000001"/>
    <n v="1.01"/>
  </r>
  <r>
    <x v="46"/>
    <n v="96.430999999999997"/>
    <n v="96.463999999999999"/>
    <n v="0.33900000000000002"/>
    <n v="1.04"/>
  </r>
  <r>
    <x v="46"/>
    <n v="96.421999999999997"/>
    <n v="96.454999999999998"/>
    <n v="0.33400000000000002"/>
    <n v="1.05"/>
  </r>
  <r>
    <x v="47"/>
    <n v="96.238"/>
    <n v="96.271000000000001"/>
    <n v="0.32800000000000001"/>
    <n v="1.08"/>
  </r>
  <r>
    <x v="47"/>
    <n v="96.009"/>
    <n v="96.043000000000006"/>
    <n v="0.33800000000000002"/>
    <n v="1.1399999999999999"/>
  </r>
  <r>
    <x v="48"/>
    <n v="96.272999999999996"/>
    <n v="96.307000000000002"/>
    <n v="0.34399999999999997"/>
    <n v="1.05"/>
  </r>
  <r>
    <x v="48"/>
    <n v="96.177999999999997"/>
    <n v="96.212999999999994"/>
    <n v="0.34300000000000003"/>
    <n v="1.08"/>
  </r>
  <r>
    <x v="48"/>
    <n v="96.135999999999996"/>
    <n v="96.17"/>
    <n v="0.34300000000000003"/>
    <n v="1.0900000000000001"/>
  </r>
  <r>
    <x v="49"/>
    <n v="95.988"/>
    <n v="96.022999999999996"/>
    <n v="0.33500000000000002"/>
    <n v="1.1200000000000001"/>
  </r>
  <r>
    <x v="49"/>
    <n v="96.004000000000005"/>
    <n v="96.039000000000001"/>
    <n v="0.33700000000000002"/>
    <n v="1.1200000000000001"/>
  </r>
  <r>
    <x v="49"/>
    <n v="95.918999999999997"/>
    <n v="95.953000000000003"/>
    <n v="0.34699999999999998"/>
    <n v="1.1399999999999999"/>
  </r>
  <r>
    <x v="50"/>
    <n v="95.795000000000002"/>
    <n v="95.83"/>
    <n v="0.374"/>
    <n v="1.1499999999999999"/>
  </r>
  <r>
    <x v="50"/>
    <n v="95.82"/>
    <n v="95.855000000000004"/>
    <n v="0.38"/>
    <n v="1.1399999999999999"/>
  </r>
  <r>
    <x v="50"/>
    <n v="95.817999999999998"/>
    <n v="95.852999999999994"/>
    <n v="0.35399999999999998"/>
    <n v="1.1399999999999999"/>
  </r>
  <r>
    <x v="51"/>
    <n v="95.608999999999995"/>
    <n v="95.644999999999996"/>
    <n v="0.375"/>
    <n v="1.18"/>
  </r>
  <r>
    <x v="51"/>
    <n v="95.641000000000005"/>
    <n v="95.677000000000007"/>
    <n v="0.38600000000000001"/>
    <n v="1.17"/>
  </r>
  <r>
    <x v="51"/>
    <n v="95.344999999999999"/>
    <n v="95.381"/>
    <n v="0.378"/>
    <n v="1.25"/>
  </r>
  <r>
    <x v="52"/>
    <n v="95.616"/>
    <n v="95.652000000000001"/>
    <n v="0.374"/>
    <n v="1.1599999999999999"/>
  </r>
  <r>
    <x v="52"/>
    <n v="95.516000000000005"/>
    <n v="95.552000000000007"/>
    <n v="0.38300000000000001"/>
    <n v="1.19"/>
  </r>
  <r>
    <x v="53"/>
    <n v="95.697999999999993"/>
    <n v="95.733999999999995"/>
    <n v="0.39700000000000002"/>
    <n v="1.1299999999999999"/>
  </r>
  <r>
    <x v="53"/>
    <n v="95.284999999999997"/>
    <n v="95.322000000000003"/>
    <n v="0.38600000000000001"/>
    <n v="1.24"/>
  </r>
  <r>
    <x v="54"/>
    <n v="95.491"/>
    <n v="95.528999999999996"/>
    <n v="0.40400000000000003"/>
    <n v="1.1599999999999999"/>
  </r>
  <r>
    <x v="54"/>
    <n v="95.186000000000007"/>
    <n v="95.224000000000004"/>
    <n v="0.39300000000000002"/>
    <n v="1.24"/>
  </r>
  <r>
    <x v="55"/>
    <n v="94.998999999999995"/>
    <n v="95.037000000000006"/>
    <n v="0.379"/>
    <n v="1.26"/>
  </r>
  <r>
    <x v="55"/>
    <n v="95.05"/>
    <n v="95.088999999999999"/>
    <n v="0.41399999999999998"/>
    <n v="1.25"/>
  </r>
  <r>
    <x v="55"/>
    <n v="94.724000000000004"/>
    <n v="94.762"/>
    <n v="0.4"/>
    <n v="1.34"/>
  </r>
  <r>
    <x v="56"/>
    <n v="95.057000000000002"/>
    <n v="95.094999999999999"/>
    <n v="0.40500000000000003"/>
    <n v="1.24"/>
  </r>
  <r>
    <x v="56"/>
    <n v="94.941000000000003"/>
    <n v="94.98"/>
    <n v="0.39500000000000002"/>
    <n v="1.26"/>
  </r>
  <r>
    <x v="56"/>
    <n v="94.864000000000004"/>
    <n v="94.903000000000006"/>
    <n v="0.40400000000000003"/>
    <n v="1.28"/>
  </r>
  <r>
    <x v="57"/>
    <n v="94.840999999999994"/>
    <n v="94.88"/>
    <n v="0.4"/>
    <n v="1.28"/>
  </r>
  <r>
    <x v="57"/>
    <n v="94.876999999999995"/>
    <n v="94.915999999999997"/>
    <n v="0.434"/>
    <n v="1.27"/>
  </r>
  <r>
    <x v="57"/>
    <n v="94.629000000000005"/>
    <n v="94.668000000000006"/>
    <n v="0.40799999999999997"/>
    <n v="1.33"/>
  </r>
  <r>
    <x v="58"/>
    <n v="94.620999999999995"/>
    <n v="94.66"/>
    <n v="0.40699999999999997"/>
    <n v="1.31"/>
  </r>
  <r>
    <x v="58"/>
    <n v="94.513000000000005"/>
    <n v="94.552999999999997"/>
    <n v="0.41499999999999998"/>
    <n v="1.34"/>
  </r>
  <r>
    <x v="59"/>
    <n v="94.430999999999997"/>
    <n v="94.471000000000004"/>
    <n v="0.42499999999999999"/>
    <n v="1.33"/>
  </r>
  <r>
    <x v="59"/>
    <n v="94.245999999999995"/>
    <n v="94.286000000000001"/>
    <n v="0.432"/>
    <n v="1.38"/>
  </r>
  <r>
    <x v="60"/>
    <n v="94.466999999999999"/>
    <n v="94.507000000000005"/>
    <n v="0.437"/>
    <n v="1.31"/>
  </r>
  <r>
    <x v="60"/>
    <n v="94.304000000000002"/>
    <n v="94.344999999999999"/>
    <n v="0.42599999999999999"/>
    <n v="1.35"/>
  </r>
  <r>
    <x v="60"/>
    <n v="94.263999999999996"/>
    <n v="94.304000000000002"/>
    <n v="0.437"/>
    <n v="1.36"/>
  </r>
  <r>
    <x v="61"/>
    <n v="94.180999999999997"/>
    <n v="94.221999999999994"/>
    <n v="0.432"/>
    <n v="1.37"/>
  </r>
  <r>
    <x v="61"/>
    <n v="94.006"/>
    <n v="94.046999999999997"/>
    <n v="0.439"/>
    <n v="1.41"/>
  </r>
  <r>
    <x v="62"/>
    <n v="94.024000000000001"/>
    <n v="94.066000000000003"/>
    <n v="0.439"/>
    <n v="1.38"/>
  </r>
  <r>
    <x v="62"/>
    <n v="93.896000000000001"/>
    <n v="93.936999999999998"/>
    <n v="0.44700000000000001"/>
    <n v="1.41"/>
  </r>
  <r>
    <x v="63"/>
    <n v="93.891000000000005"/>
    <n v="93.933000000000007"/>
    <n v="0.45600000000000002"/>
    <n v="1.38"/>
  </r>
  <r>
    <x v="63"/>
    <n v="93.424999999999997"/>
    <n v="93.466999999999999"/>
    <n v="0.45300000000000001"/>
    <n v="1.49"/>
  </r>
  <r>
    <x v="64"/>
    <n v="93.686999999999998"/>
    <n v="93.728999999999999"/>
    <n v="0.44800000000000001"/>
    <n v="1.42"/>
  </r>
  <r>
    <x v="64"/>
    <n v="93.58"/>
    <n v="93.623000000000005"/>
    <n v="0.45800000000000002"/>
    <n v="1.44"/>
  </r>
  <r>
    <x v="65"/>
    <n v="93.593000000000004"/>
    <n v="93.635999999999996"/>
    <n v="0.44700000000000001"/>
    <n v="1.43"/>
  </r>
  <r>
    <x v="65"/>
    <n v="93.31"/>
    <n v="93.352999999999994"/>
    <n v="0.46100000000000002"/>
    <n v="1.49"/>
  </r>
  <r>
    <x v="66"/>
    <n v="93.370999999999995"/>
    <n v="93.415000000000006"/>
    <n v="0.46899999999999997"/>
    <n v="1.45"/>
  </r>
  <r>
    <x v="66"/>
    <n v="93.192999999999998"/>
    <n v="93.236999999999995"/>
    <n v="0.46800000000000003"/>
    <n v="1.49"/>
  </r>
  <r>
    <x v="67"/>
    <n v="93.182000000000002"/>
    <n v="93.225999999999999"/>
    <n v="0.48199999999999998"/>
    <n v="1.47"/>
  </r>
  <r>
    <x v="67"/>
    <n v="92.965000000000003"/>
    <n v="93.009"/>
    <n v="0.47499999999999998"/>
    <n v="1.52"/>
  </r>
  <r>
    <x v="68"/>
    <n v="93.265000000000001"/>
    <n v="93.308999999999997"/>
    <n v="0.48099999999999998"/>
    <n v="1.44"/>
  </r>
  <r>
    <x v="68"/>
    <n v="93.119"/>
    <n v="93.164000000000001"/>
    <n v="0.48"/>
    <n v="1.47"/>
  </r>
  <r>
    <x v="68"/>
    <n v="93.131"/>
    <n v="93.174999999999997"/>
    <n v="0.48099999999999998"/>
    <n v="1.47"/>
  </r>
  <r>
    <x v="69"/>
    <n v="92.998999999999995"/>
    <n v="93.043999999999997"/>
    <n v="0.49199999999999999"/>
    <n v="1.48"/>
  </r>
  <r>
    <x v="69"/>
    <n v="92.849000000000004"/>
    <n v="92.894000000000005"/>
    <n v="0.48299999999999998"/>
    <n v="1.52"/>
  </r>
  <r>
    <x v="70"/>
    <n v="92.847999999999999"/>
    <n v="92.893000000000001"/>
    <n v="0.48499999999999999"/>
    <n v="1.49"/>
  </r>
  <r>
    <x v="70"/>
    <n v="92.730999999999995"/>
    <n v="92.777000000000001"/>
    <n v="0.49"/>
    <n v="1.52"/>
  </r>
  <r>
    <x v="71"/>
    <n v="92.721999999999994"/>
    <n v="92.768000000000001"/>
    <n v="0.51200000000000001"/>
    <n v="1.49"/>
  </r>
  <r>
    <x v="71"/>
    <n v="92.242000000000004"/>
    <n v="92.287999999999997"/>
    <n v="0.496"/>
    <n v="1.6"/>
  </r>
  <r>
    <x v="72"/>
    <n v="92.415000000000006"/>
    <n v="92.460999999999999"/>
    <n v="0.501"/>
    <n v="1.55"/>
  </r>
  <r>
    <x v="73"/>
    <n v="92.430999999999997"/>
    <n v="92.477999999999994"/>
    <n v="0.53"/>
    <n v="1.53"/>
  </r>
  <r>
    <x v="73"/>
    <n v="92.195999999999998"/>
    <n v="92.242999999999995"/>
    <n v="0.52800000000000002"/>
    <n v="1.58"/>
  </r>
  <r>
    <x v="74"/>
    <n v="92.212999999999994"/>
    <n v="92.260999999999996"/>
    <n v="0.53600000000000003"/>
    <n v="1.55"/>
  </r>
  <r>
    <x v="74"/>
    <n v="91.974999999999994"/>
    <n v="92.022000000000006"/>
    <n v="0.53500000000000003"/>
    <n v="1.6"/>
  </r>
  <r>
    <x v="75"/>
    <n v="92.009"/>
    <n v="92.058000000000007"/>
    <n v="0.51700000000000002"/>
    <n v="1.57"/>
  </r>
  <r>
    <x v="75"/>
    <n v="91.873000000000005"/>
    <n v="91.921999999999997"/>
    <n v="0.51800000000000002"/>
    <n v="1.6"/>
  </r>
  <r>
    <x v="76"/>
    <n v="91.935000000000002"/>
    <n v="91.983999999999995"/>
    <n v="0.55900000000000005"/>
    <n v="1.57"/>
  </r>
  <r>
    <x v="76"/>
    <n v="91.789000000000001"/>
    <n v="91.837999999999994"/>
    <n v="0.55800000000000005"/>
    <n v="1.6"/>
  </r>
  <r>
    <x v="77"/>
    <n v="91.834999999999994"/>
    <n v="91.884"/>
    <n v="0.57999999999999996"/>
    <n v="1.58"/>
  </r>
  <r>
    <x v="77"/>
    <n v="91.602000000000004"/>
    <n v="91.650999999999996"/>
    <n v="0.57799999999999996"/>
    <n v="1.63"/>
  </r>
  <r>
    <x v="78"/>
    <n v="91.558000000000007"/>
    <n v="91.608000000000004"/>
    <n v="0.54300000000000004"/>
    <n v="1.61"/>
  </r>
  <r>
    <x v="78"/>
    <n v="91.058999999999997"/>
    <n v="91.108000000000004"/>
    <n v="0.57499999999999996"/>
    <n v="1.71"/>
  </r>
  <r>
    <x v="79"/>
    <n v="91.358999999999995"/>
    <n v="91.409000000000006"/>
    <n v="0.56299999999999994"/>
    <n v="1.63"/>
  </r>
  <r>
    <x v="79"/>
    <n v="91.134"/>
    <n v="91.185000000000002"/>
    <n v="0.57299999999999995"/>
    <n v="1.67"/>
  </r>
  <r>
    <x v="80"/>
    <n v="91.311999999999998"/>
    <n v="91.363"/>
    <n v="0.57899999999999996"/>
    <n v="1.62"/>
  </r>
  <r>
    <x v="80"/>
    <n v="91.123000000000005"/>
    <n v="91.173000000000002"/>
    <n v="0.57799999999999996"/>
    <n v="1.66"/>
  </r>
  <r>
    <x v="81"/>
    <n v="91.134"/>
    <n v="91.183999999999997"/>
    <n v="0.55700000000000005"/>
    <n v="1.65"/>
  </r>
  <r>
    <x v="81"/>
    <n v="90.819000000000003"/>
    <n v="90.869"/>
    <n v="0.57999999999999996"/>
    <n v="1.71"/>
  </r>
  <r>
    <x v="82"/>
    <n v="90.927999999999997"/>
    <n v="90.978999999999999"/>
    <n v="0.61299999999999999"/>
    <n v="1.66"/>
  </r>
  <r>
    <x v="82"/>
    <n v="90.683999999999997"/>
    <n v="90.734999999999999"/>
    <n v="0.61199999999999999"/>
    <n v="1.71"/>
  </r>
  <r>
    <x v="83"/>
    <n v="90.747"/>
    <n v="90.799000000000007"/>
    <n v="0.63400000000000001"/>
    <n v="1.67"/>
  </r>
  <r>
    <x v="83"/>
    <n v="90.5"/>
    <n v="90.552000000000007"/>
    <n v="0.63200000000000001"/>
    <n v="1.72"/>
  </r>
  <r>
    <x v="84"/>
    <n v="90.495000000000005"/>
    <n v="90.548000000000002"/>
    <n v="0.57299999999999995"/>
    <n v="1.71"/>
  </r>
  <r>
    <x v="84"/>
    <n v="90.350999999999999"/>
    <n v="90.403999999999996"/>
    <n v="0.57199999999999995"/>
    <n v="1.74"/>
  </r>
  <r>
    <x v="85"/>
    <n v="90.394999999999996"/>
    <n v="90.447999999999993"/>
    <n v="0.63900000000000001"/>
    <n v="1.72"/>
  </r>
  <r>
    <x v="85"/>
    <n v="90.408000000000001"/>
    <n v="90.460999999999999"/>
    <n v="0.63900000000000001"/>
    <n v="1.71"/>
  </r>
  <r>
    <x v="86"/>
    <n v="90.108000000000004"/>
    <n v="90.161000000000001"/>
    <n v="0.59599999999999997"/>
    <n v="1.75"/>
  </r>
  <r>
    <x v="86"/>
    <n v="89.89"/>
    <n v="89.942999999999998"/>
    <n v="0.58099999999999996"/>
    <n v="1.79"/>
  </r>
  <r>
    <x v="87"/>
    <n v="89.891000000000005"/>
    <n v="89.944999999999993"/>
    <n v="0.64800000000000002"/>
    <n v="1.76"/>
  </r>
  <r>
    <x v="87"/>
    <n v="89.524000000000001"/>
    <n v="89.576999999999998"/>
    <n v="0.625"/>
    <n v="1.83"/>
  </r>
  <r>
    <x v="88"/>
    <n v="89.715999999999994"/>
    <n v="89.77"/>
    <n v="0.59299999999999997"/>
    <n v="1.78"/>
  </r>
  <r>
    <x v="88"/>
    <n v="89.674999999999997"/>
    <n v="89.728999999999999"/>
    <n v="0.59199999999999997"/>
    <n v="1.79"/>
  </r>
  <r>
    <x v="89"/>
    <n v="89.652000000000001"/>
    <n v="89.706000000000003"/>
    <n v="0.64100000000000001"/>
    <n v="1.78"/>
  </r>
  <r>
    <x v="89"/>
    <n v="89.388999999999996"/>
    <n v="89.442999999999998"/>
    <n v="0.63200000000000001"/>
    <n v="1.83"/>
  </r>
  <r>
    <x v="90"/>
    <n v="89.245999999999995"/>
    <n v="89.302000000000007"/>
    <n v="0.64100000000000001"/>
    <n v="1.79"/>
  </r>
  <r>
    <x v="90"/>
    <n v="88.995000000000005"/>
    <n v="89.05"/>
    <n v="0.64"/>
    <n v="1.84"/>
  </r>
  <r>
    <x v="91"/>
    <n v="88.528000000000006"/>
    <n v="88.585999999999999"/>
    <n v="0.66"/>
    <n v="1.85"/>
  </r>
  <r>
    <x v="91"/>
    <n v="88.298000000000002"/>
    <n v="88.355000000000004"/>
    <n v="0.65900000000000003"/>
    <n v="1.89"/>
  </r>
  <r>
    <x v="92"/>
    <n v="87.971000000000004"/>
    <n v="88.03"/>
    <n v="0.69599999999999995"/>
    <n v="1.87"/>
  </r>
  <r>
    <x v="92"/>
    <n v="87.733000000000004"/>
    <n v="87.792000000000002"/>
    <n v="0.69399999999999995"/>
    <n v="1.91"/>
  </r>
  <r>
    <x v="93"/>
    <n v="87.176000000000002"/>
    <n v="87.236999999999995"/>
    <n v="0.71499999999999997"/>
    <n v="1.94"/>
  </r>
  <r>
    <x v="93"/>
    <n v="86.932000000000002"/>
    <n v="86.992999999999995"/>
    <n v="0.71299999999999997"/>
    <n v="1.98"/>
  </r>
  <r>
    <x v="94"/>
    <n v="86.558999999999997"/>
    <n v="86.622"/>
    <n v="0.68300000000000005"/>
    <n v="1.97"/>
  </r>
  <r>
    <x v="94"/>
    <n v="86.152000000000001"/>
    <n v="86.213999999999999"/>
    <n v="0.68"/>
    <n v="2.0299999999999998"/>
  </r>
  <r>
    <x v="95"/>
    <n v="85.909000000000006"/>
    <n v="85.972999999999999"/>
    <n v="0.70199999999999996"/>
    <n v="2"/>
  </r>
  <r>
    <x v="95"/>
    <n v="85.506"/>
    <n v="85.570999999999998"/>
    <n v="0.69699999999999995"/>
    <n v="2.0699999999999998"/>
  </r>
  <r>
    <x v="96"/>
    <n v="85.364000000000004"/>
    <n v="85.43"/>
    <n v="0.72"/>
    <n v="2.02"/>
  </r>
  <r>
    <x v="96"/>
    <n v="84.852000000000004"/>
    <n v="84.918000000000006"/>
    <n v="0.71499999999999997"/>
    <n v="2.1"/>
  </r>
  <r>
    <x v="97"/>
    <n v="84.611000000000004"/>
    <n v="84.679000000000002"/>
    <n v="0.70199999999999996"/>
    <n v="2.0699999999999998"/>
  </r>
  <r>
    <x v="97"/>
    <n v="84.611000000000004"/>
    <n v="84.679000000000002"/>
    <n v="0.752"/>
    <n v="2.0699999999999998"/>
  </r>
  <r>
    <x v="97"/>
    <n v="84.004000000000005"/>
    <n v="84.072000000000003"/>
    <n v="0.69599999999999995"/>
    <n v="2.16"/>
  </r>
  <r>
    <x v="98"/>
    <n v="83.881"/>
    <n v="83.95"/>
    <n v="0.71699999999999997"/>
    <n v="2.11"/>
  </r>
  <r>
    <x v="98"/>
    <n v="83.311999999999998"/>
    <n v="83.381"/>
    <n v="0.71199999999999997"/>
    <n v="2.19"/>
  </r>
  <r>
    <x v="99"/>
    <n v="82.629000000000005"/>
    <n v="82.698999999999998"/>
    <n v="0.72699999999999998"/>
    <n v="2.2200000000000002"/>
  </r>
  <r>
    <x v="99"/>
    <n v="83.263000000000005"/>
    <n v="83.332999999999998"/>
    <n v="0.76800000000000002"/>
    <n v="2.13"/>
  </r>
  <r>
    <x v="100"/>
    <n v="82.584999999999994"/>
    <n v="82.656999999999996"/>
    <n v="0.73"/>
    <n v="2.17"/>
  </r>
  <r>
    <x v="100"/>
    <n v="82.674999999999997"/>
    <n v="82.747"/>
    <n v="0.78400000000000003"/>
    <n v="2.15"/>
  </r>
  <r>
    <x v="100"/>
    <n v="81.92"/>
    <n v="81.992000000000004"/>
    <n v="0.72399999999999998"/>
    <n v="2.2599999999999998"/>
  </r>
  <r>
    <x v="101"/>
    <n v="81.972999999999999"/>
    <n v="82.046999999999997"/>
    <n v="0.745"/>
    <n v="2.19"/>
  </r>
  <r>
    <x v="101"/>
    <n v="81.313000000000002"/>
    <n v="81.385999999999996"/>
    <n v="0.73899999999999999"/>
    <n v="2.2799999999999998"/>
  </r>
  <r>
    <x v="102"/>
    <n v="80.665000000000006"/>
    <n v="80.739000000000004"/>
    <n v="0.753"/>
    <n v="2.31"/>
  </r>
  <r>
    <x v="103"/>
    <n v="79.992999999999995"/>
    <n v="80.069000000000003"/>
    <n v="0.76600000000000001"/>
    <n v="2.33"/>
  </r>
  <r>
    <x v="104"/>
    <n v="79.278000000000006"/>
    <n v="79.355000000000004"/>
    <n v="0.76"/>
    <n v="2.37"/>
  </r>
  <r>
    <x v="105"/>
    <n v="79.403000000000006"/>
    <n v="79.481999999999999"/>
    <n v="0.78"/>
    <n v="2.29"/>
  </r>
  <r>
    <x v="105"/>
    <n v="78.516999999999996"/>
    <n v="78.596000000000004"/>
    <n v="0.77100000000000002"/>
    <n v="2.4"/>
  </r>
  <r>
    <x v="106"/>
    <n v="78.728999999999999"/>
    <n v="78.808999999999997"/>
    <n v="0.79300000000000004"/>
    <n v="2.3199999999999998"/>
  </r>
  <r>
    <x v="106"/>
    <n v="77.790000000000006"/>
    <n v="77.869"/>
    <n v="0.78300000000000003"/>
    <n v="2.4300000000000002"/>
  </r>
  <r>
    <x v="107"/>
    <n v="77.137"/>
    <n v="77.216999999999999"/>
    <n v="0.79500000000000004"/>
    <n v="2.46"/>
  </r>
  <r>
    <x v="108"/>
    <n v="77.387"/>
    <n v="77.468999999999994"/>
    <n v="0.77500000000000002"/>
    <n v="2.37"/>
  </r>
  <r>
    <x v="108"/>
    <n v="76.418999999999997"/>
    <n v="76.501000000000005"/>
    <n v="0.76500000000000001"/>
    <n v="2.4900000000000002"/>
  </r>
  <r>
    <x v="109"/>
    <n v="75.718000000000004"/>
    <n v="75.801000000000002"/>
    <n v="0.77500000000000002"/>
    <n v="2.52"/>
  </r>
  <r>
    <x v="110"/>
    <n v="75.971000000000004"/>
    <n v="76.055999999999997"/>
    <n v="0.77100000000000002"/>
    <n v="2.4300000000000002"/>
  </r>
  <r>
    <x v="110"/>
    <n v="75.02"/>
    <n v="75.103999999999999"/>
    <n v="0.76100000000000001"/>
    <n v="2.54"/>
  </r>
  <r>
    <x v="111"/>
    <n v="74.375"/>
    <n v="74.459999999999994"/>
    <n v="0.77"/>
    <n v="2.56"/>
  </r>
  <r>
    <x v="112"/>
    <n v="74.683000000000007"/>
    <n v="74.77"/>
    <n v="0.79"/>
    <n v="2.4700000000000002"/>
  </r>
  <r>
    <x v="112"/>
    <n v="73.728999999999999"/>
    <n v="73.814999999999998"/>
    <n v="0.78"/>
    <n v="2.58"/>
  </r>
  <r>
    <x v="113"/>
    <n v="74.025000000000006"/>
    <n v="74.113"/>
    <n v="0.79900000000000004"/>
    <n v="2.4900000000000002"/>
  </r>
  <r>
    <x v="113"/>
    <n v="73.081000000000003"/>
    <n v="73.168999999999997"/>
    <n v="0.78900000000000003"/>
    <n v="2.6"/>
  </r>
  <r>
    <x v="114"/>
    <n v="73.364000000000004"/>
    <n v="73.453999999999994"/>
    <n v="0.78600000000000003"/>
    <n v="2.52"/>
  </r>
  <r>
    <x v="114"/>
    <n v="72.388000000000005"/>
    <n v="72.475999999999999"/>
    <n v="0.77500000000000002"/>
    <n v="2.63"/>
  </r>
  <r>
    <x v="115"/>
    <n v="71.759"/>
    <n v="71.849000000000004"/>
    <n v="0.78400000000000003"/>
    <n v="2.64"/>
  </r>
  <r>
    <x v="116"/>
    <n v="72.105000000000004"/>
    <n v="72.197000000000003"/>
    <n v="0.80300000000000005"/>
    <n v="2.5499999999999998"/>
  </r>
  <r>
    <x v="116"/>
    <n v="71.108000000000004"/>
    <n v="71.197999999999993"/>
    <n v="0.79300000000000004"/>
    <n v="2.66"/>
  </r>
  <r>
    <x v="117"/>
    <n v="71.394000000000005"/>
    <n v="71.486000000000004"/>
    <n v="0.81100000000000005"/>
    <n v="2.58"/>
  </r>
  <r>
    <x v="117"/>
    <n v="70.432000000000002"/>
    <n v="70.522999999999996"/>
    <n v="0.8"/>
    <n v="2.69"/>
  </r>
  <r>
    <x v="118"/>
    <n v="69.823999999999998"/>
    <n v="69.915999999999997"/>
    <n v="0.80800000000000005"/>
    <n v="2.7"/>
  </r>
  <r>
    <x v="119"/>
    <n v="69.239000000000004"/>
    <n v="69.331999999999994"/>
    <n v="0.81599999999999995"/>
    <n v="2.71"/>
  </r>
  <r>
    <x v="120"/>
    <n v="69.646000000000001"/>
    <n v="69.741"/>
    <n v="0.83599999999999997"/>
    <n v="2.62"/>
  </r>
  <r>
    <x v="120"/>
    <n v="68.655000000000001"/>
    <n v="68.748999999999995"/>
    <n v="0.82399999999999995"/>
    <n v="2.73"/>
  </r>
  <r>
    <x v="121"/>
    <n v="69.144000000000005"/>
    <n v="69.241"/>
    <n v="0.82"/>
    <n v="2.63"/>
  </r>
  <r>
    <x v="121"/>
    <n v="68.025000000000006"/>
    <n v="68.119"/>
    <n v="0.80800000000000005"/>
    <n v="2.74"/>
  </r>
  <r>
    <x v="122"/>
    <n v="68.426000000000002"/>
    <n v="68.522999999999996"/>
    <n v="0.82599999999999996"/>
    <n v="2.65"/>
  </r>
  <r>
    <x v="122"/>
    <n v="67.394000000000005"/>
    <n v="67.489000000000004"/>
    <n v="0.81399999999999995"/>
    <n v="2.76"/>
  </r>
  <r>
    <x v="123"/>
    <n v="66.811000000000007"/>
    <n v="66.908000000000001"/>
    <n v="0.82"/>
    <n v="2.77"/>
  </r>
  <r>
    <x v="124"/>
    <n v="67.353999999999999"/>
    <n v="67.453000000000003"/>
    <n v="0.84199999999999997"/>
    <n v="2.67"/>
  </r>
  <r>
    <x v="124"/>
    <n v="66.23"/>
    <n v="66.326999999999998"/>
    <n v="0.82699999999999996"/>
    <n v="2.79"/>
  </r>
  <r>
    <x v="125"/>
    <n v="65.697999999999993"/>
    <n v="65.796000000000006"/>
    <n v="0.83399999999999996"/>
    <n v="2.8"/>
  </r>
  <r>
    <x v="126"/>
    <n v="65.168000000000006"/>
    <n v="65.266999999999996"/>
    <n v="0.84099999999999997"/>
    <n v="2.8"/>
  </r>
  <r>
    <x v="127"/>
    <n v="65.793000000000006"/>
    <n v="65.894999999999996"/>
    <n v="0.86299999999999999"/>
    <n v="2.69"/>
  </r>
  <r>
    <x v="127"/>
    <n v="64.641000000000005"/>
    <n v="64.739999999999995"/>
    <n v="0.84799999999999998"/>
    <n v="2.81"/>
  </r>
  <r>
    <x v="128"/>
    <n v="64.14"/>
    <n v="64.239999999999995"/>
    <n v="0.85499999999999998"/>
    <n v="2.81"/>
  </r>
  <r>
    <x v="129"/>
    <n v="63.616"/>
    <n v="63.716999999999999"/>
    <n v="0.86099999999999999"/>
    <n v="2.82"/>
  </r>
  <r>
    <x v="130"/>
    <n v="64.144000000000005"/>
    <n v="64.248000000000005"/>
    <n v="0.88100000000000001"/>
    <n v="2.73"/>
  </r>
  <r>
    <x v="130"/>
    <n v="63.067999999999998"/>
    <n v="63.17"/>
    <n v="0.86599999999999999"/>
    <n v="2.83"/>
  </r>
  <r>
    <x v="131"/>
    <n v="62.548000000000002"/>
    <n v="62.651000000000003"/>
    <n v="0.872"/>
    <n v="2.84"/>
  </r>
  <r>
    <x v="132"/>
    <n v="62.03"/>
    <n v="62.133000000000003"/>
    <n v="0.878"/>
    <n v="2.85"/>
  </r>
  <r>
    <x v="133"/>
    <n v="61.514000000000003"/>
    <n v="61.618000000000002"/>
    <n v="0.88300000000000001"/>
    <n v="2.86"/>
  </r>
  <r>
    <x v="134"/>
    <n v="61"/>
    <n v="61.103999999999999"/>
    <n v="0.88800000000000001"/>
    <n v="2.86"/>
  </r>
  <r>
    <x v="135"/>
    <n v="60.488"/>
    <n v="60.593000000000004"/>
    <n v="0.89400000000000002"/>
    <n v="2.87"/>
  </r>
  <r>
    <x v="136"/>
    <n v="59.978000000000002"/>
    <n v="60.082999999999998"/>
    <n v="0.89800000000000002"/>
    <n v="2.88"/>
  </r>
  <r>
    <x v="137"/>
    <n v="59.47"/>
    <n v="59.576000000000001"/>
    <n v="0.90300000000000002"/>
    <n v="2.88"/>
  </r>
  <r>
    <x v="138"/>
    <n v="58.963999999999999"/>
    <n v="59.070999999999998"/>
    <n v="0.90700000000000003"/>
    <n v="2.89"/>
  </r>
  <r>
    <x v="139"/>
    <n v="58.460999999999999"/>
    <n v="58.567999999999998"/>
    <n v="0.91200000000000003"/>
    <n v="2.9"/>
  </r>
  <r>
    <x v="140"/>
    <n v="57.96"/>
    <n v="58.067"/>
    <n v="0.91700000000000004"/>
    <n v="2.91"/>
  </r>
  <r>
    <x v="141"/>
    <n v="57.46"/>
    <n v="57.567999999999998"/>
    <n v="0.92"/>
    <n v="2.91"/>
  </r>
  <r>
    <x v="142"/>
    <n v="56.963000000000001"/>
    <n v="57.072000000000003"/>
    <n v="0.92400000000000004"/>
    <n v="2.92"/>
  </r>
  <r>
    <x v="143"/>
    <n v="56.496000000000002"/>
    <n v="56.604999999999997"/>
    <n v="0.92800000000000005"/>
    <n v="2.93"/>
  </r>
  <r>
    <x v="144"/>
    <n v="56.030999999999999"/>
    <n v="56.14"/>
    <n v="0.93200000000000005"/>
    <n v="2.93"/>
  </r>
  <r>
    <x v="145"/>
    <n v="55.540999999999997"/>
    <n v="55.651000000000003"/>
    <n v="0.93600000000000005"/>
    <n v="2.94"/>
  </r>
  <r>
    <x v="146"/>
    <n v="55.052999999999997"/>
    <n v="55.162999999999997"/>
    <n v="0.93899999999999995"/>
    <n v="2.95"/>
  </r>
  <r>
    <x v="147"/>
    <n v="54.567"/>
    <n v="54.677999999999997"/>
    <n v="0.94099999999999995"/>
    <n v="2.95"/>
  </r>
  <r>
    <x v="148"/>
    <n v="54.112000000000002"/>
    <n v="54.222999999999999"/>
    <n v="0.94499999999999995"/>
    <n v="2.96"/>
  </r>
  <r>
    <x v="149"/>
    <n v="53.658000000000001"/>
    <n v="53.77"/>
    <n v="0.97499999999999998"/>
    <n v="2.96"/>
  </r>
  <r>
    <x v="150"/>
    <n v="54.595999999999997"/>
    <n v="54.710999999999999"/>
    <n v="1.004"/>
    <n v="2.85"/>
  </r>
  <r>
    <x v="150"/>
    <n v="53.207999999999998"/>
    <n v="53.32"/>
    <n v="0.97799999999999998"/>
    <n v="2.97"/>
  </r>
  <r>
    <x v="151"/>
    <n v="52.704000000000001"/>
    <n v="52.816000000000003"/>
    <n v="0.95299999999999996"/>
    <n v="2.98"/>
  </r>
  <r>
    <x v="152"/>
    <n v="52.258000000000003"/>
    <n v="52.37"/>
    <n v="0.95499999999999996"/>
    <n v="2.98"/>
  </r>
  <r>
    <x v="153"/>
    <n v="51.758000000000003"/>
    <n v="51.871000000000002"/>
    <n v="0.95699999999999996"/>
    <n v="2.99"/>
  </r>
  <r>
    <x v="154"/>
    <n v="52.517000000000003"/>
    <n v="52.633000000000003"/>
    <n v="0.98199999999999998"/>
    <n v="2.89"/>
  </r>
  <r>
    <x v="154"/>
    <n v="51.289000000000001"/>
    <n v="51.402000000000001"/>
    <n v="0.95899999999999996"/>
    <n v="3"/>
  </r>
  <r>
    <x v="155"/>
    <n v="52.024000000000001"/>
    <n v="52.14"/>
    <n v="0.98399999999999999"/>
    <n v="2.9"/>
  </r>
  <r>
    <x v="155"/>
    <n v="50.878999999999998"/>
    <n v="50.991999999999997"/>
    <n v="0.96199999999999997"/>
    <n v="3.01"/>
  </r>
  <r>
    <x v="156"/>
    <n v="50.414999999999999"/>
    <n v="50.527999999999999"/>
    <n v="0.96399999999999997"/>
    <n v="3.01"/>
  </r>
  <r>
    <x v="157"/>
    <n v="49.981000000000002"/>
    <n v="50.094999999999999"/>
    <n v="0.96499999999999997"/>
    <n v="3.02"/>
  </r>
  <r>
    <x v="158"/>
    <n v="50.21"/>
    <n v="50.325000000000003"/>
    <n v="0.95199999999999996"/>
    <n v="2.96"/>
  </r>
  <r>
    <x v="158"/>
    <n v="49.493000000000002"/>
    <n v="49.606999999999999"/>
    <n v="0.96599999999999997"/>
    <n v="3.03"/>
  </r>
  <r>
    <x v="159"/>
    <n v="49.84"/>
    <n v="49.956000000000003"/>
    <n v="0.95499999999999996"/>
    <n v="2.96"/>
  </r>
  <r>
    <x v="159"/>
    <n v="49.036000000000001"/>
    <n v="49.15"/>
    <n v="0.93899999999999995"/>
    <n v="3.03"/>
  </r>
  <r>
    <x v="160"/>
    <n v="48.639000000000003"/>
    <n v="48.753"/>
    <n v="0.94199999999999995"/>
    <n v="3.04"/>
  </r>
  <r>
    <x v="161"/>
    <n v="48.215000000000003"/>
    <n v="48.33"/>
    <n v="0.91500000000000004"/>
    <n v="3.04"/>
  </r>
  <r>
    <x v="162"/>
    <n v="48.427999999999997"/>
    <n v="48.545000000000002"/>
    <n v="0.92800000000000005"/>
    <n v="2.99"/>
  </r>
  <r>
    <x v="162"/>
    <n v="47.793999999999997"/>
    <n v="47.908999999999999"/>
    <n v="0.91600000000000004"/>
    <n v="3.05"/>
  </r>
  <r>
    <x v="163"/>
    <n v="48.127000000000002"/>
    <n v="48.244"/>
    <n v="0.93200000000000005"/>
    <n v="2.99"/>
  </r>
  <r>
    <x v="163"/>
    <n v="47.375999999999998"/>
    <n v="47.49"/>
    <n v="0.91800000000000004"/>
    <n v="3.05"/>
  </r>
  <r>
    <x v="164"/>
    <n v="47.741"/>
    <n v="47.857999999999997"/>
    <n v="0.93300000000000005"/>
    <n v="2.99"/>
  </r>
  <r>
    <x v="164"/>
    <n v="46.96"/>
    <n v="47.075000000000003"/>
    <n v="0.91900000000000004"/>
    <n v="3.06"/>
  </r>
  <r>
    <x v="165"/>
    <n v="47.357999999999997"/>
    <n v="47.475000000000001"/>
    <n v="0.93500000000000005"/>
    <n v="2.99"/>
  </r>
  <r>
    <x v="165"/>
    <n v="46.517000000000003"/>
    <n v="46.631999999999998"/>
    <n v="0.91800000000000004"/>
    <n v="3.07"/>
  </r>
  <r>
    <x v="166"/>
    <n v="47.036000000000001"/>
    <n v="47.152999999999999"/>
    <n v="0.93799999999999994"/>
    <n v="2.99"/>
  </r>
  <r>
    <x v="166"/>
    <n v="46.078000000000003"/>
    <n v="46.192999999999998"/>
    <n v="0.91900000000000004"/>
    <n v="3.07"/>
  </r>
  <r>
    <x v="167"/>
    <n v="46.628"/>
    <n v="46.746000000000002"/>
    <n v="0.93899999999999995"/>
    <n v="2.99"/>
  </r>
  <r>
    <x v="167"/>
    <n v="45.64"/>
    <n v="45.755000000000003"/>
    <n v="0.91900000000000004"/>
    <n v="3.08"/>
  </r>
  <r>
    <x v="168"/>
    <n v="46.134999999999998"/>
    <n v="46.253"/>
    <n v="0.93799999999999994"/>
    <n v="3.01"/>
  </r>
  <r>
    <x v="168"/>
    <n v="45.262999999999998"/>
    <n v="45.378"/>
    <n v="0.92"/>
    <n v="3.08"/>
  </r>
  <r>
    <x v="169"/>
    <n v="45.82"/>
    <n v="45.938000000000002"/>
    <n v="0.94"/>
    <n v="3.01"/>
  </r>
  <r>
    <x v="169"/>
    <n v="44.917000000000002"/>
    <n v="45.033000000000001"/>
    <n v="0.92200000000000004"/>
    <n v="3.08"/>
  </r>
  <r>
    <x v="170"/>
    <n v="45.655999999999999"/>
    <n v="45.774999999999999"/>
    <n v="0.91700000000000004"/>
    <n v="2.99"/>
  </r>
  <r>
    <x v="170"/>
    <n v="44.545000000000002"/>
    <n v="44.661000000000001"/>
    <n v="0.89400000000000002"/>
    <n v="3.08"/>
  </r>
  <r>
    <x v="171"/>
    <n v="45.14"/>
    <n v="45.258000000000003"/>
    <n v="0.91500000000000004"/>
    <n v="3"/>
  </r>
  <r>
    <x v="171"/>
    <n v="44.118000000000002"/>
    <n v="44.232999999999997"/>
    <n v="0.89500000000000002"/>
    <n v="3.09"/>
  </r>
  <r>
    <x v="172"/>
    <n v="44.625999999999998"/>
    <n v="44.744"/>
    <n v="0.91300000000000003"/>
    <n v="3.02"/>
  </r>
  <r>
    <x v="172"/>
    <n v="43.779000000000003"/>
    <n v="43.895000000000003"/>
    <n v="0.89500000000000002"/>
    <n v="3.09"/>
  </r>
  <r>
    <x v="173"/>
    <n v="44.027000000000001"/>
    <n v="44.145000000000003"/>
    <n v="0.90900000000000003"/>
    <n v="3.04"/>
  </r>
  <r>
    <x v="173"/>
    <n v="43.386000000000003"/>
    <n v="43.502000000000002"/>
    <n v="0.89600000000000002"/>
    <n v="3.1"/>
  </r>
  <r>
    <x v="174"/>
    <n v="43.518999999999998"/>
    <n v="43.636000000000003"/>
    <n v="0.90700000000000003"/>
    <n v="3.06"/>
  </r>
  <r>
    <x v="174"/>
    <n v="43.052999999999997"/>
    <n v="43.168999999999997"/>
    <n v="0.89700000000000002"/>
    <n v="3.1"/>
  </r>
  <r>
    <x v="175"/>
    <n v="43.13"/>
    <n v="43.247999999999998"/>
    <n v="0.90600000000000003"/>
    <n v="3.06"/>
  </r>
  <r>
    <x v="175"/>
    <n v="42.722000000000001"/>
    <n v="42.838000000000001"/>
    <n v="0.89800000000000002"/>
    <n v="3.1"/>
  </r>
  <r>
    <x v="176"/>
    <n v="42.627000000000002"/>
    <n v="42.744"/>
    <n v="0.90400000000000003"/>
    <n v="3.08"/>
  </r>
  <r>
    <x v="176"/>
    <n v="42.365000000000002"/>
    <n v="42.481000000000002"/>
    <n v="0.89800000000000002"/>
    <n v="3.1"/>
  </r>
  <r>
    <x v="177"/>
    <n v="42.213999999999999"/>
    <n v="42.331000000000003"/>
    <n v="0.90300000000000002"/>
    <n v="3.08"/>
  </r>
  <r>
    <x v="177"/>
    <n v="42.04"/>
    <n v="42.155999999999999"/>
    <n v="0.9"/>
    <n v="3.1"/>
  </r>
  <r>
    <x v="178"/>
    <n v="41.862000000000002"/>
    <n v="41.978999999999999"/>
    <n v="0.90300000000000002"/>
    <n v="3.09"/>
  </r>
  <r>
    <x v="178"/>
    <n v="41.628999999999998"/>
    <n v="41.746000000000002"/>
    <n v="0.89800000000000002"/>
    <n v="3.11"/>
  </r>
  <r>
    <x v="179"/>
    <n v="41.482999999999997"/>
    <n v="41.6"/>
    <n v="0.90300000000000002"/>
    <n v="3.09"/>
  </r>
  <r>
    <x v="179"/>
    <n v="41.28"/>
    <n v="41.396000000000001"/>
    <n v="0.89900000000000002"/>
    <n v="3.11"/>
  </r>
  <r>
    <x v="179"/>
    <n v="31.414999999999999"/>
    <n v="31.504999999999999"/>
    <n v="-0.17499999999999999"/>
    <n v="3.99"/>
  </r>
  <r>
    <x v="180"/>
    <n v="41.136000000000003"/>
    <n v="41.253"/>
    <n v="0.90300000000000002"/>
    <n v="3.09"/>
  </r>
  <r>
    <x v="180"/>
    <n v="40.902999999999999"/>
    <n v="41.02"/>
    <n v="0.89800000000000002"/>
    <n v="3.11"/>
  </r>
  <r>
    <x v="180"/>
    <n v="31.077999999999999"/>
    <n v="31.167999999999999"/>
    <n v="-0.17499999999999999"/>
    <n v="3.99"/>
  </r>
  <r>
    <x v="181"/>
    <n v="40.790999999999997"/>
    <n v="40.908000000000001"/>
    <n v="0.90300000000000002"/>
    <n v="3.1"/>
  </r>
  <r>
    <x v="181"/>
    <n v="40.588000000000001"/>
    <n v="40.704000000000001"/>
    <n v="0.89900000000000002"/>
    <n v="3.12"/>
  </r>
  <r>
    <x v="181"/>
    <n v="30.777000000000001"/>
    <n v="30.866"/>
    <n v="-0.17399999999999999"/>
    <n v="3.99"/>
  </r>
  <r>
    <x v="182"/>
    <n v="40.42"/>
    <n v="40.536999999999999"/>
    <n v="0.874"/>
    <n v="3.1"/>
  </r>
  <r>
    <x v="182"/>
    <n v="40.244999999999997"/>
    <n v="40.360999999999997"/>
    <n v="0.89900000000000002"/>
    <n v="3.12"/>
  </r>
  <r>
    <x v="182"/>
    <n v="39.345999999999997"/>
    <n v="39.46"/>
    <n v="0.33800000000000002"/>
    <n v="3.19"/>
  </r>
  <r>
    <x v="182"/>
    <n v="36.585999999999999"/>
    <n v="36.692"/>
    <n v="-0.41399999999999998"/>
    <n v="3.44"/>
  </r>
  <r>
    <x v="182"/>
    <n v="36.558"/>
    <n v="36.664000000000001"/>
    <n v="0.27300000000000002"/>
    <n v="3.43"/>
  </r>
  <r>
    <x v="182"/>
    <n v="35.331000000000003"/>
    <n v="35.433"/>
    <n v="0.253"/>
    <n v="3.54"/>
  </r>
  <r>
    <x v="182"/>
    <n v="34.161000000000001"/>
    <n v="34.261000000000003"/>
    <n v="-0.04"/>
    <n v="3.64"/>
  </r>
  <r>
    <x v="183"/>
    <n v="40.137999999999998"/>
    <n v="40.255000000000003"/>
    <n v="0.90400000000000003"/>
    <n v="3.1"/>
  </r>
  <r>
    <x v="183"/>
    <n v="39.963000000000001"/>
    <n v="40.08"/>
    <n v="0.9"/>
    <n v="3.12"/>
  </r>
  <r>
    <x v="183"/>
    <n v="39.063000000000002"/>
    <n v="39.177"/>
    <n v="0.33800000000000002"/>
    <n v="3.19"/>
  </r>
  <r>
    <x v="183"/>
    <n v="36.561999999999998"/>
    <n v="36.668999999999997"/>
    <n v="0.45100000000000001"/>
    <n v="3.41"/>
  </r>
  <r>
    <x v="183"/>
    <n v="36.301000000000002"/>
    <n v="36.406999999999996"/>
    <n v="-0.41399999999999998"/>
    <n v="3.43"/>
  </r>
  <r>
    <x v="183"/>
    <n v="37.540999999999997"/>
    <n v="37.651000000000003"/>
    <n v="-0.21099999999999999"/>
    <n v="3.31"/>
  </r>
  <r>
    <x v="183"/>
    <n v="36.287999999999997"/>
    <n v="36.393999999999998"/>
    <n v="0.28699999999999998"/>
    <n v="3.43"/>
  </r>
  <r>
    <x v="183"/>
    <n v="35.048999999999999"/>
    <n v="35.152000000000001"/>
    <n v="0.253"/>
    <n v="3.54"/>
  </r>
  <r>
    <x v="183"/>
    <n v="34.847000000000001"/>
    <n v="34.950000000000003"/>
    <n v="-0.20100000000000001"/>
    <n v="3.55"/>
  </r>
  <r>
    <x v="183"/>
    <n v="33.856999999999999"/>
    <n v="33.957000000000001"/>
    <n v="-0.04"/>
    <n v="3.6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0"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Z7:AA192" firstHeaderRow="1" firstDataRow="1" firstDataCol="1"/>
  <pivotFields count="5">
    <pivotField axis="axisRow" showAll="0">
      <items count="185">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0"/>
        <item t="default"/>
      </items>
    </pivotField>
    <pivotField showAll="0"/>
    <pivotField dataField="1" showAll="0"/>
    <pivotField showAll="0"/>
    <pivotField showAll="0"/>
  </pivotFields>
  <rowFields count="1">
    <field x="0"/>
  </rowFields>
  <rowItems count="185">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x v="135"/>
    </i>
    <i>
      <x v="136"/>
    </i>
    <i>
      <x v="137"/>
    </i>
    <i>
      <x v="138"/>
    </i>
    <i>
      <x v="139"/>
    </i>
    <i>
      <x v="140"/>
    </i>
    <i>
      <x v="141"/>
    </i>
    <i>
      <x v="142"/>
    </i>
    <i>
      <x v="143"/>
    </i>
    <i>
      <x v="144"/>
    </i>
    <i>
      <x v="145"/>
    </i>
    <i>
      <x v="146"/>
    </i>
    <i>
      <x v="147"/>
    </i>
    <i>
      <x v="148"/>
    </i>
    <i>
      <x v="149"/>
    </i>
    <i>
      <x v="150"/>
    </i>
    <i>
      <x v="151"/>
    </i>
    <i>
      <x v="152"/>
    </i>
    <i>
      <x v="153"/>
    </i>
    <i>
      <x v="154"/>
    </i>
    <i>
      <x v="155"/>
    </i>
    <i>
      <x v="156"/>
    </i>
    <i>
      <x v="157"/>
    </i>
    <i>
      <x v="158"/>
    </i>
    <i>
      <x v="159"/>
    </i>
    <i>
      <x v="160"/>
    </i>
    <i>
      <x v="161"/>
    </i>
    <i>
      <x v="162"/>
    </i>
    <i>
      <x v="163"/>
    </i>
    <i>
      <x v="164"/>
    </i>
    <i>
      <x v="165"/>
    </i>
    <i>
      <x v="166"/>
    </i>
    <i>
      <x v="167"/>
    </i>
    <i>
      <x v="168"/>
    </i>
    <i>
      <x v="169"/>
    </i>
    <i>
      <x v="170"/>
    </i>
    <i>
      <x v="171"/>
    </i>
    <i>
      <x v="172"/>
    </i>
    <i>
      <x v="173"/>
    </i>
    <i>
      <x v="174"/>
    </i>
    <i>
      <x v="175"/>
    </i>
    <i>
      <x v="176"/>
    </i>
    <i>
      <x v="177"/>
    </i>
    <i>
      <x v="178"/>
    </i>
    <i>
      <x v="179"/>
    </i>
    <i>
      <x v="180"/>
    </i>
    <i>
      <x v="181"/>
    </i>
    <i>
      <x v="182"/>
    </i>
    <i>
      <x v="183"/>
    </i>
    <i t="grand">
      <x/>
    </i>
  </rowItems>
  <colItems count="1">
    <i/>
  </colItems>
  <dataFields count="1">
    <dataField name="Average of Asked" fld="2" subtotal="average"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name="yield.shtml"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real_yield.shtml" connectionId="2" autoFormatId="16" applyNumberFormats="0" applyBorderFormats="0" applyFontFormats="1" applyPatternFormats="1" applyAlignmentFormats="0" applyWidthHeightFormats="0"/>
</file>

<file path=xl/tables/table1.xml><?xml version="1.0" encoding="utf-8"?>
<table xmlns="http://schemas.openxmlformats.org/spreadsheetml/2006/main" id="1" name="ProjectDetails" displayName="ProjectDetails" ref="B19:E31" totalsRowShown="0" headerRowDxfId="5" dataDxfId="4">
  <tableColumns count="4">
    <tableColumn id="1" name="DATE" dataDxfId="3"/>
    <tableColumn id="2" name="MILESTONE" dataDxfId="2"/>
    <tableColumn id="4" name="POSITION" dataDxfId="1"/>
    <tableColumn id="5" name="BASELINE" dataDxfId="0">
      <calculatedColumnFormula>1</calculatedColumnFormula>
    </tableColumn>
  </tableColumns>
  <tableStyleInfo name="Project Timeline" showFirstColumn="0" showLastColumn="0" showRowStripes="1" showColumnStripes="0"/>
  <extLst>
    <ext xmlns:x14="http://schemas.microsoft.com/office/spreadsheetml/2009/9/main" uri="{504A1905-F514-4f6f-8877-14C23A59335A}">
      <x14:table altText="Project Details" altTextSummary="List of Dates, Milestones, and Chart Positions for project."/>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hyperlink" Target="https://www.nyse.com/quote/XNYS:GEB" TargetMode="External"/><Relationship Id="rId117" Type="http://schemas.openxmlformats.org/officeDocument/2006/relationships/hyperlink" Target="https://www.nyse.com/quote/XNYS:DTZ" TargetMode="External"/><Relationship Id="rId21" Type="http://schemas.openxmlformats.org/officeDocument/2006/relationships/hyperlink" Target="https://www.nyse.com/quote/XNYS:TVE" TargetMode="External"/><Relationship Id="rId42" Type="http://schemas.openxmlformats.org/officeDocument/2006/relationships/hyperlink" Target="http://finance.yahoo.com/q?s=GEK" TargetMode="External"/><Relationship Id="rId47" Type="http://schemas.openxmlformats.org/officeDocument/2006/relationships/hyperlink" Target="http://www.marketwatch.com/investing/stock/ELA" TargetMode="External"/><Relationship Id="rId63" Type="http://schemas.openxmlformats.org/officeDocument/2006/relationships/hyperlink" Target="https://www.nyse.com/quote/XNYS:LYGpA" TargetMode="External"/><Relationship Id="rId68" Type="http://schemas.openxmlformats.org/officeDocument/2006/relationships/hyperlink" Target="https://www.nyse.com/quote/XNYS:ELU" TargetMode="External"/><Relationship Id="rId84" Type="http://schemas.openxmlformats.org/officeDocument/2006/relationships/hyperlink" Target="http://finance.yahoo.com/q?s=EMZ" TargetMode="External"/><Relationship Id="rId89" Type="http://schemas.openxmlformats.org/officeDocument/2006/relationships/hyperlink" Target="http://www.marketwatch.com/investing/stock/EAA" TargetMode="External"/><Relationship Id="rId112" Type="http://schemas.openxmlformats.org/officeDocument/2006/relationships/hyperlink" Target="http://www.sec.gov/Archives/edgar/data/936340/000119312512404288/d415349d424b2.htm" TargetMode="External"/><Relationship Id="rId133" Type="http://schemas.openxmlformats.org/officeDocument/2006/relationships/printerSettings" Target="../printerSettings/printerSettings3.bin"/><Relationship Id="rId16" Type="http://schemas.openxmlformats.org/officeDocument/2006/relationships/hyperlink" Target="http://www.tva.gov/finance/opportun/pdf/g47584.pdf" TargetMode="External"/><Relationship Id="rId107" Type="http://schemas.openxmlformats.org/officeDocument/2006/relationships/hyperlink" Target="http://www.marketwatch.com/investing/stock/CCV" TargetMode="External"/><Relationship Id="rId11" Type="http://schemas.openxmlformats.org/officeDocument/2006/relationships/hyperlink" Target="http://www.quantumonline.com/debttable.cfm?SortColumn=MoodysCode&amp;Sortorder=ASC" TargetMode="External"/><Relationship Id="rId32" Type="http://schemas.openxmlformats.org/officeDocument/2006/relationships/hyperlink" Target="https://www.nyse.com/quote/XNYS:GEH" TargetMode="External"/><Relationship Id="rId37" Type="http://schemas.openxmlformats.org/officeDocument/2006/relationships/hyperlink" Target="http://www.quantumonline.com/search.cfm?tickersymbol=GEK&amp;sopt=symbol" TargetMode="External"/><Relationship Id="rId53" Type="http://schemas.openxmlformats.org/officeDocument/2006/relationships/hyperlink" Target="http://www.marketwatch.com/investing/stock/ELB" TargetMode="External"/><Relationship Id="rId58" Type="http://schemas.openxmlformats.org/officeDocument/2006/relationships/hyperlink" Target="http://www.sec.gov/Archives/edgar/data/1348952/000006598412000140/d368812d424b2.htm" TargetMode="External"/><Relationship Id="rId74" Type="http://schemas.openxmlformats.org/officeDocument/2006/relationships/hyperlink" Target="https://www.nyse.com/quote/XNYS:EMQ" TargetMode="External"/><Relationship Id="rId79" Type="http://schemas.openxmlformats.org/officeDocument/2006/relationships/hyperlink" Target="http://www.quantumonline.com/search.cfm?tickersymbol=EMZ&amp;sopt=symbol" TargetMode="External"/><Relationship Id="rId102" Type="http://schemas.openxmlformats.org/officeDocument/2006/relationships/hyperlink" Target="http://finance.yahoo.com/q?s=EFM" TargetMode="External"/><Relationship Id="rId123" Type="http://schemas.openxmlformats.org/officeDocument/2006/relationships/hyperlink" Target="https://www.nyse.com/quote/XNYS:DUKH" TargetMode="External"/><Relationship Id="rId128" Type="http://schemas.openxmlformats.org/officeDocument/2006/relationships/hyperlink" Target="https://www.nyse.com/quote/XNYS:ALLpB" TargetMode="External"/><Relationship Id="rId5" Type="http://schemas.openxmlformats.org/officeDocument/2006/relationships/hyperlink" Target="http://www.quantumonline.com/debttable.cfm?SortColumn=IPODate&amp;Sortorder=DESC" TargetMode="External"/><Relationship Id="rId90" Type="http://schemas.openxmlformats.org/officeDocument/2006/relationships/hyperlink" Target="http://finance.yahoo.com/q?s=EAA" TargetMode="External"/><Relationship Id="rId95" Type="http://schemas.openxmlformats.org/officeDocument/2006/relationships/hyperlink" Target="http://www.marketwatch.com/investing/stock/EAE" TargetMode="External"/><Relationship Id="rId14" Type="http://schemas.openxmlformats.org/officeDocument/2006/relationships/hyperlink" Target="https://www.nyse.com/quote/XNYS:TVC" TargetMode="External"/><Relationship Id="rId22" Type="http://schemas.openxmlformats.org/officeDocument/2006/relationships/hyperlink" Target="http://www.tva.gov/finance/opportun/pdf/g53944.pdf" TargetMode="External"/><Relationship Id="rId27" Type="http://schemas.openxmlformats.org/officeDocument/2006/relationships/hyperlink" Target="https://www.nyse.com/quote/XNYS:GEB" TargetMode="External"/><Relationship Id="rId30" Type="http://schemas.openxmlformats.org/officeDocument/2006/relationships/hyperlink" Target="http://finance.yahoo.com/q?s=GEB" TargetMode="External"/><Relationship Id="rId35" Type="http://schemas.openxmlformats.org/officeDocument/2006/relationships/hyperlink" Target="http://www.marketwatch.com/investing/stock/GEH" TargetMode="External"/><Relationship Id="rId43" Type="http://schemas.openxmlformats.org/officeDocument/2006/relationships/hyperlink" Target="http://www.quantumonline.com/search.cfm?tickersymbol=ELA&amp;sopt=symbol" TargetMode="External"/><Relationship Id="rId48" Type="http://schemas.openxmlformats.org/officeDocument/2006/relationships/hyperlink" Target="http://finance.yahoo.com/q?s=ELA" TargetMode="External"/><Relationship Id="rId56" Type="http://schemas.openxmlformats.org/officeDocument/2006/relationships/hyperlink" Target="https://www.nyse.com/quote/XNYS:ELJ" TargetMode="External"/><Relationship Id="rId64" Type="http://schemas.openxmlformats.org/officeDocument/2006/relationships/hyperlink" Target="http://www.sec.gov/Archives/edgar/data/1160106/000093041310003791/c62036_424b2.htm" TargetMode="External"/><Relationship Id="rId69" Type="http://schemas.openxmlformats.org/officeDocument/2006/relationships/hyperlink" Target="https://www.nyse.com/quote/XNYS:ELU" TargetMode="External"/><Relationship Id="rId77" Type="http://schemas.openxmlformats.org/officeDocument/2006/relationships/hyperlink" Target="http://www.marketwatch.com/investing/stock/EMQ" TargetMode="External"/><Relationship Id="rId100" Type="http://schemas.openxmlformats.org/officeDocument/2006/relationships/hyperlink" Target="http://www.sec.gov/Archives/edgar/data/66901/000006598410000079/d424b2.htm" TargetMode="External"/><Relationship Id="rId105" Type="http://schemas.openxmlformats.org/officeDocument/2006/relationships/hyperlink" Target="https://www.nyse.com/quote/XNYS:CCV" TargetMode="External"/><Relationship Id="rId113" Type="http://schemas.openxmlformats.org/officeDocument/2006/relationships/hyperlink" Target="http://www.marketwatch.com/investing/stock/DTQ" TargetMode="External"/><Relationship Id="rId118" Type="http://schemas.openxmlformats.org/officeDocument/2006/relationships/hyperlink" Target="http://www.sec.gov/Archives/edgar/data/936340/000119312511324670/d260952d424b2.htm" TargetMode="External"/><Relationship Id="rId126" Type="http://schemas.openxmlformats.org/officeDocument/2006/relationships/hyperlink" Target="http://finance.yahoo.com/q?s=DUKH" TargetMode="External"/><Relationship Id="rId8" Type="http://schemas.openxmlformats.org/officeDocument/2006/relationships/hyperlink" Target="http://www.quantumonline.com/debttable.cfm?SortColumn=PfdCallPrice&amp;Sortorder=DESC" TargetMode="External"/><Relationship Id="rId51" Type="http://schemas.openxmlformats.org/officeDocument/2006/relationships/hyperlink" Target="https://www.nyse.com/quote/XNYS:ELB" TargetMode="External"/><Relationship Id="rId72" Type="http://schemas.openxmlformats.org/officeDocument/2006/relationships/hyperlink" Target="http://finance.yahoo.com/q?s=ELU" TargetMode="External"/><Relationship Id="rId80" Type="http://schemas.openxmlformats.org/officeDocument/2006/relationships/hyperlink" Target="https://www.nyse.com/quote/XNYS:EMZ" TargetMode="External"/><Relationship Id="rId85" Type="http://schemas.openxmlformats.org/officeDocument/2006/relationships/hyperlink" Target="http://www.quantumonline.com/search.cfm?tickersymbol=EAA&amp;sopt=symbol" TargetMode="External"/><Relationship Id="rId93" Type="http://schemas.openxmlformats.org/officeDocument/2006/relationships/hyperlink" Target="https://www.nyse.com/quote/XNYS:EAE" TargetMode="External"/><Relationship Id="rId98" Type="http://schemas.openxmlformats.org/officeDocument/2006/relationships/hyperlink" Target="https://www.nyse.com/quote/XNYS:EFM" TargetMode="External"/><Relationship Id="rId121" Type="http://schemas.openxmlformats.org/officeDocument/2006/relationships/hyperlink" Target="http://www.quantumonline.com/search.cfm?tickersymbol=DUKH&amp;sopt=symbol" TargetMode="External"/><Relationship Id="rId3" Type="http://schemas.openxmlformats.org/officeDocument/2006/relationships/hyperlink" Target="http://www.quantumonline.com/debttable.cfm?SortColumn=Exchange&amp;Sortorder=ASC" TargetMode="External"/><Relationship Id="rId12" Type="http://schemas.openxmlformats.org/officeDocument/2006/relationships/hyperlink" Target="http://www.quantumonline.com/debttable.cfm?SortColumn=PfdDivPayDates&amp;Sortorder=ASC" TargetMode="External"/><Relationship Id="rId17" Type="http://schemas.openxmlformats.org/officeDocument/2006/relationships/hyperlink" Target="http://www.marketwatch.com/investing/stock/TVC" TargetMode="External"/><Relationship Id="rId25" Type="http://schemas.openxmlformats.org/officeDocument/2006/relationships/hyperlink" Target="http://www.quantumonline.com/search.cfm?tickersymbol=GEB&amp;sopt=symbol" TargetMode="External"/><Relationship Id="rId33" Type="http://schemas.openxmlformats.org/officeDocument/2006/relationships/hyperlink" Target="https://www.nyse.com/quote/XNYS:GEH" TargetMode="External"/><Relationship Id="rId38" Type="http://schemas.openxmlformats.org/officeDocument/2006/relationships/hyperlink" Target="https://www.nyse.com/quote/XNYS:GEK" TargetMode="External"/><Relationship Id="rId46" Type="http://schemas.openxmlformats.org/officeDocument/2006/relationships/hyperlink" Target="http://www.sec.gov/Archives/edgar/data/1348952/000006598410000235/h77499.htm" TargetMode="External"/><Relationship Id="rId59" Type="http://schemas.openxmlformats.org/officeDocument/2006/relationships/hyperlink" Target="http://www.marketwatch.com/investing/stock/ELJ" TargetMode="External"/><Relationship Id="rId67" Type="http://schemas.openxmlformats.org/officeDocument/2006/relationships/hyperlink" Target="http://www.quantumonline.com/search.cfm?tickersymbol=ELU&amp;sopt=symbol" TargetMode="External"/><Relationship Id="rId103" Type="http://schemas.openxmlformats.org/officeDocument/2006/relationships/hyperlink" Target="http://www.quantumonline.com/search.cfm?tickersymbol=CCV&amp;sopt=symbol" TargetMode="External"/><Relationship Id="rId108" Type="http://schemas.openxmlformats.org/officeDocument/2006/relationships/hyperlink" Target="http://finance.yahoo.com/q?s=CCV" TargetMode="External"/><Relationship Id="rId116" Type="http://schemas.openxmlformats.org/officeDocument/2006/relationships/hyperlink" Target="https://www.nyse.com/quote/XNYS:DTZ" TargetMode="External"/><Relationship Id="rId124" Type="http://schemas.openxmlformats.org/officeDocument/2006/relationships/hyperlink" Target="http://www.sec.gov/Archives/edgar/data/1326160/000104746913000149/a2212334z424b5.htm" TargetMode="External"/><Relationship Id="rId129" Type="http://schemas.openxmlformats.org/officeDocument/2006/relationships/hyperlink" Target="https://www.nyse.com/quote/XNYS:ALLpB" TargetMode="External"/><Relationship Id="rId20" Type="http://schemas.openxmlformats.org/officeDocument/2006/relationships/hyperlink" Target="https://www.nyse.com/quote/XNYS:TVE" TargetMode="External"/><Relationship Id="rId41" Type="http://schemas.openxmlformats.org/officeDocument/2006/relationships/hyperlink" Target="http://www.marketwatch.com/investing/stock/GEK" TargetMode="External"/><Relationship Id="rId54" Type="http://schemas.openxmlformats.org/officeDocument/2006/relationships/hyperlink" Target="http://finance.yahoo.com/q?s=ELB" TargetMode="External"/><Relationship Id="rId62" Type="http://schemas.openxmlformats.org/officeDocument/2006/relationships/hyperlink" Target="https://www.nyse.com/quote/XNYS:LYGpA" TargetMode="External"/><Relationship Id="rId70" Type="http://schemas.openxmlformats.org/officeDocument/2006/relationships/hyperlink" Target="http://www.sec.gov/Archives/edgar/data/1348952/000006598413000093/d531614d424b3.htm" TargetMode="External"/><Relationship Id="rId75" Type="http://schemas.openxmlformats.org/officeDocument/2006/relationships/hyperlink" Target="https://www.nyse.com/quote/XNYS:EMQ" TargetMode="External"/><Relationship Id="rId83" Type="http://schemas.openxmlformats.org/officeDocument/2006/relationships/hyperlink" Target="http://www.marketwatch.com/investing/stock/EMZ" TargetMode="External"/><Relationship Id="rId88" Type="http://schemas.openxmlformats.org/officeDocument/2006/relationships/hyperlink" Target="http://www.sec.gov/Archives/edgar/data/7323/000006598410000203/h76557.htm" TargetMode="External"/><Relationship Id="rId91" Type="http://schemas.openxmlformats.org/officeDocument/2006/relationships/hyperlink" Target="http://www.quantumonline.com/search.cfm?tickersymbol=EAE&amp;sopt=symbol" TargetMode="External"/><Relationship Id="rId96" Type="http://schemas.openxmlformats.org/officeDocument/2006/relationships/hyperlink" Target="http://finance.yahoo.com/q?s=EAE" TargetMode="External"/><Relationship Id="rId111" Type="http://schemas.openxmlformats.org/officeDocument/2006/relationships/hyperlink" Target="https://www.nyse.com/quote/XNYS:DTQ" TargetMode="External"/><Relationship Id="rId132" Type="http://schemas.openxmlformats.org/officeDocument/2006/relationships/hyperlink" Target="http://finance.yahoo.com/q?s=ALL-PB" TargetMode="External"/><Relationship Id="rId1" Type="http://schemas.openxmlformats.org/officeDocument/2006/relationships/hyperlink" Target="http://www.quantumonline.com/debttable.cfm?SortColumn=symbol&amp;Sortorder=ASC" TargetMode="External"/><Relationship Id="rId6" Type="http://schemas.openxmlformats.org/officeDocument/2006/relationships/hyperlink" Target="http://www.quantumonline.com/debttable.cfm?SortColumn=PfdDivRate&amp;Sortorder=DESC" TargetMode="External"/><Relationship Id="rId15" Type="http://schemas.openxmlformats.org/officeDocument/2006/relationships/hyperlink" Target="https://www.nyse.com/quote/XNYS:TVC" TargetMode="External"/><Relationship Id="rId23" Type="http://schemas.openxmlformats.org/officeDocument/2006/relationships/hyperlink" Target="http://www.marketwatch.com/investing/stock/TVE" TargetMode="External"/><Relationship Id="rId28" Type="http://schemas.openxmlformats.org/officeDocument/2006/relationships/hyperlink" Target="http://www.sec.gov/Archives/edgar/data/40554/000093041312005591/c71193_424b2.htm" TargetMode="External"/><Relationship Id="rId36" Type="http://schemas.openxmlformats.org/officeDocument/2006/relationships/hyperlink" Target="http://finance.yahoo.com/q?s=GEH" TargetMode="External"/><Relationship Id="rId49" Type="http://schemas.openxmlformats.org/officeDocument/2006/relationships/hyperlink" Target="http://www.quantumonline.com/search.cfm?tickersymbol=ELB&amp;sopt=symbol" TargetMode="External"/><Relationship Id="rId57" Type="http://schemas.openxmlformats.org/officeDocument/2006/relationships/hyperlink" Target="https://www.nyse.com/quote/XNYS:ELJ" TargetMode="External"/><Relationship Id="rId106" Type="http://schemas.openxmlformats.org/officeDocument/2006/relationships/hyperlink" Target="http://www.sec.gov/Archives/edgar/data/1166691/000119312512487836/d440628d424b2.htm" TargetMode="External"/><Relationship Id="rId114" Type="http://schemas.openxmlformats.org/officeDocument/2006/relationships/hyperlink" Target="http://finance.yahoo.com/q?s=DTQ" TargetMode="External"/><Relationship Id="rId119" Type="http://schemas.openxmlformats.org/officeDocument/2006/relationships/hyperlink" Target="http://www.marketwatch.com/investing/stock/DTZ" TargetMode="External"/><Relationship Id="rId127" Type="http://schemas.openxmlformats.org/officeDocument/2006/relationships/hyperlink" Target="http://www.quantumonline.com/search.cfm?tickersymbol=ALL-B&amp;sopt=symbol" TargetMode="External"/><Relationship Id="rId10" Type="http://schemas.openxmlformats.org/officeDocument/2006/relationships/hyperlink" Target="http://www.quantumonline.com/debttable.cfm?SortColumn=MoodysCode&amp;Sortorder=ASC" TargetMode="External"/><Relationship Id="rId31" Type="http://schemas.openxmlformats.org/officeDocument/2006/relationships/hyperlink" Target="http://www.quantumonline.com/search.cfm?tickersymbol=GEH&amp;sopt=symbol" TargetMode="External"/><Relationship Id="rId44" Type="http://schemas.openxmlformats.org/officeDocument/2006/relationships/hyperlink" Target="https://www.nyse.com/quote/XNYS:ELA" TargetMode="External"/><Relationship Id="rId52" Type="http://schemas.openxmlformats.org/officeDocument/2006/relationships/hyperlink" Target="http://www.sec.gov/Archives/edgar/data/1348952/000006598410000062/entergy.htm" TargetMode="External"/><Relationship Id="rId60" Type="http://schemas.openxmlformats.org/officeDocument/2006/relationships/hyperlink" Target="http://finance.yahoo.com/q?s=ELJ" TargetMode="External"/><Relationship Id="rId65" Type="http://schemas.openxmlformats.org/officeDocument/2006/relationships/hyperlink" Target="http://www.marketwatch.com/investing/stock/LYG.PA" TargetMode="External"/><Relationship Id="rId73" Type="http://schemas.openxmlformats.org/officeDocument/2006/relationships/hyperlink" Target="http://www.quantumonline.com/search.cfm?tickersymbol=EMQ&amp;sopt=symbol" TargetMode="External"/><Relationship Id="rId78" Type="http://schemas.openxmlformats.org/officeDocument/2006/relationships/hyperlink" Target="http://finance.yahoo.com/q?s=EMQ" TargetMode="External"/><Relationship Id="rId81" Type="http://schemas.openxmlformats.org/officeDocument/2006/relationships/hyperlink" Target="https://www.nyse.com/quote/XNYS:EMZ" TargetMode="External"/><Relationship Id="rId86" Type="http://schemas.openxmlformats.org/officeDocument/2006/relationships/hyperlink" Target="https://www.nyse.com/quote/XNYS:EAA" TargetMode="External"/><Relationship Id="rId94" Type="http://schemas.openxmlformats.org/officeDocument/2006/relationships/hyperlink" Target="http://www.sec.gov/Archives/edgar/data/7323/000006598413000112/d536104d424b2.htm" TargetMode="External"/><Relationship Id="rId99" Type="http://schemas.openxmlformats.org/officeDocument/2006/relationships/hyperlink" Target="https://www.nyse.com/quote/XNYS:EFM" TargetMode="External"/><Relationship Id="rId101" Type="http://schemas.openxmlformats.org/officeDocument/2006/relationships/hyperlink" Target="http://www.marketwatch.com/investing/stock/EFM" TargetMode="External"/><Relationship Id="rId122" Type="http://schemas.openxmlformats.org/officeDocument/2006/relationships/hyperlink" Target="https://www.nyse.com/quote/XNYS:DUKH" TargetMode="External"/><Relationship Id="rId130" Type="http://schemas.openxmlformats.org/officeDocument/2006/relationships/hyperlink" Target="http://www.sec.gov/Archives/edgar/data/899051/000104746913000048/a2212216z424b5.htm" TargetMode="External"/><Relationship Id="rId4" Type="http://schemas.openxmlformats.org/officeDocument/2006/relationships/hyperlink" Target="http://www.quantumonline.com/debttable.cfm?SortColumn=Exchange&amp;Sortorder=ASC" TargetMode="External"/><Relationship Id="rId9" Type="http://schemas.openxmlformats.org/officeDocument/2006/relationships/hyperlink" Target="http://www.quantumonline.com/debttable.cfm?SortColumn=PfdRedempDate&amp;Sortorder=DESC" TargetMode="External"/><Relationship Id="rId13" Type="http://schemas.openxmlformats.org/officeDocument/2006/relationships/hyperlink" Target="http://www.quantumonline.com/search.cfm?tickersymbol=TVC&amp;sopt=symbol" TargetMode="External"/><Relationship Id="rId18" Type="http://schemas.openxmlformats.org/officeDocument/2006/relationships/hyperlink" Target="http://finance.yahoo.com/q?s=TVC" TargetMode="External"/><Relationship Id="rId39" Type="http://schemas.openxmlformats.org/officeDocument/2006/relationships/hyperlink" Target="https://www.nyse.com/quote/XNYS:GEK" TargetMode="External"/><Relationship Id="rId109" Type="http://schemas.openxmlformats.org/officeDocument/2006/relationships/hyperlink" Target="http://www.quantumonline.com/search.cfm?tickersymbol=DTQ&amp;sopt=symbol" TargetMode="External"/><Relationship Id="rId34" Type="http://schemas.openxmlformats.org/officeDocument/2006/relationships/hyperlink" Target="http://www.sec.gov/Archives/edgar/data/40554/000093041313000336/c72308_424b2.htm" TargetMode="External"/><Relationship Id="rId50" Type="http://schemas.openxmlformats.org/officeDocument/2006/relationships/hyperlink" Target="https://www.nyse.com/quote/XNYS:ELB" TargetMode="External"/><Relationship Id="rId55" Type="http://schemas.openxmlformats.org/officeDocument/2006/relationships/hyperlink" Target="http://www.quantumonline.com/search.cfm?tickersymbol=ELJ&amp;sopt=symbol" TargetMode="External"/><Relationship Id="rId76" Type="http://schemas.openxmlformats.org/officeDocument/2006/relationships/hyperlink" Target="http://www.sec.gov/Archives/edgar/data/66901/0000065984-02-000208.txt" TargetMode="External"/><Relationship Id="rId97" Type="http://schemas.openxmlformats.org/officeDocument/2006/relationships/hyperlink" Target="http://www.quantumonline.com/search.cfm?tickersymbol=EFM&amp;sopt=symbol" TargetMode="External"/><Relationship Id="rId104" Type="http://schemas.openxmlformats.org/officeDocument/2006/relationships/hyperlink" Target="https://www.nyse.com/quote/XNYS:CCV" TargetMode="External"/><Relationship Id="rId120" Type="http://schemas.openxmlformats.org/officeDocument/2006/relationships/hyperlink" Target="http://finance.yahoo.com/q?s=DTZ" TargetMode="External"/><Relationship Id="rId125" Type="http://schemas.openxmlformats.org/officeDocument/2006/relationships/hyperlink" Target="http://www.marketwatch.com/investing/stock/DUKH" TargetMode="External"/><Relationship Id="rId7" Type="http://schemas.openxmlformats.org/officeDocument/2006/relationships/hyperlink" Target="http://www.quantumonline.com/debttable.cfm?SortColumn=PfdLiqPref&amp;Sortorder=DESC" TargetMode="External"/><Relationship Id="rId71" Type="http://schemas.openxmlformats.org/officeDocument/2006/relationships/hyperlink" Target="http://www.marketwatch.com/investing/stock/ELU" TargetMode="External"/><Relationship Id="rId92" Type="http://schemas.openxmlformats.org/officeDocument/2006/relationships/hyperlink" Target="https://www.nyse.com/quote/XNYS:EAE" TargetMode="External"/><Relationship Id="rId2" Type="http://schemas.openxmlformats.org/officeDocument/2006/relationships/hyperlink" Target="http://www.quantumonline.com/debttable.cfm?SortColumn=Company&amp;Sortorder=ASC" TargetMode="External"/><Relationship Id="rId29" Type="http://schemas.openxmlformats.org/officeDocument/2006/relationships/hyperlink" Target="http://www.marketwatch.com/investing/stock/GEB" TargetMode="External"/><Relationship Id="rId24" Type="http://schemas.openxmlformats.org/officeDocument/2006/relationships/hyperlink" Target="http://finance.yahoo.com/q?s=TVE" TargetMode="External"/><Relationship Id="rId40" Type="http://schemas.openxmlformats.org/officeDocument/2006/relationships/hyperlink" Target="http://www.sec.gov/Archives/edgar/data/40554/000093041313002894/c73747_424b2.htm" TargetMode="External"/><Relationship Id="rId45" Type="http://schemas.openxmlformats.org/officeDocument/2006/relationships/hyperlink" Target="https://www.nyse.com/quote/XNYS:ELA" TargetMode="External"/><Relationship Id="rId66" Type="http://schemas.openxmlformats.org/officeDocument/2006/relationships/hyperlink" Target="http://finance.yahoo.com/q?s=LYG-PA" TargetMode="External"/><Relationship Id="rId87" Type="http://schemas.openxmlformats.org/officeDocument/2006/relationships/hyperlink" Target="https://www.nyse.com/quote/XNYS:EAA" TargetMode="External"/><Relationship Id="rId110" Type="http://schemas.openxmlformats.org/officeDocument/2006/relationships/hyperlink" Target="https://www.nyse.com/quote/XNYS:DTQ" TargetMode="External"/><Relationship Id="rId115" Type="http://schemas.openxmlformats.org/officeDocument/2006/relationships/hyperlink" Target="http://www.quantumonline.com/search.cfm?tickersymbol=DTZ&amp;sopt=symbol" TargetMode="External"/><Relationship Id="rId131" Type="http://schemas.openxmlformats.org/officeDocument/2006/relationships/hyperlink" Target="http://www.marketwatch.com/investing/stock/ALL.PB" TargetMode="External"/><Relationship Id="rId61" Type="http://schemas.openxmlformats.org/officeDocument/2006/relationships/hyperlink" Target="http://www.quantumonline.com/search.cfm?tickersymbol=LYG-A&amp;sopt=symbol" TargetMode="External"/><Relationship Id="rId82" Type="http://schemas.openxmlformats.org/officeDocument/2006/relationships/hyperlink" Target="http://www.sec.gov/Archives/edgar/data/66901/000006598411000069/a01911.htm" TargetMode="External"/><Relationship Id="rId19" Type="http://schemas.openxmlformats.org/officeDocument/2006/relationships/hyperlink" Target="http://www.quantumonline.com/search.cfm?tickersymbol=TVE&amp;sopt=symbol"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s://www.nyse.com/quote/XNYS:GEB" TargetMode="External"/><Relationship Id="rId117" Type="http://schemas.openxmlformats.org/officeDocument/2006/relationships/hyperlink" Target="https://www.nyse.com/quote/XNYS:DTZ" TargetMode="External"/><Relationship Id="rId21" Type="http://schemas.openxmlformats.org/officeDocument/2006/relationships/hyperlink" Target="https://www.nyse.com/quote/XNYS:TVE" TargetMode="External"/><Relationship Id="rId42" Type="http://schemas.openxmlformats.org/officeDocument/2006/relationships/hyperlink" Target="http://finance.yahoo.com/q?s=GEK" TargetMode="External"/><Relationship Id="rId47" Type="http://schemas.openxmlformats.org/officeDocument/2006/relationships/hyperlink" Target="http://www.marketwatch.com/investing/stock/ELA" TargetMode="External"/><Relationship Id="rId63" Type="http://schemas.openxmlformats.org/officeDocument/2006/relationships/hyperlink" Target="https://www.nyse.com/quote/XNYS:LYGpA" TargetMode="External"/><Relationship Id="rId68" Type="http://schemas.openxmlformats.org/officeDocument/2006/relationships/hyperlink" Target="https://www.nyse.com/quote/XNYS:ELU" TargetMode="External"/><Relationship Id="rId84" Type="http://schemas.openxmlformats.org/officeDocument/2006/relationships/hyperlink" Target="http://finance.yahoo.com/q?s=EMZ" TargetMode="External"/><Relationship Id="rId89" Type="http://schemas.openxmlformats.org/officeDocument/2006/relationships/hyperlink" Target="http://www.marketwatch.com/investing/stock/EAA" TargetMode="External"/><Relationship Id="rId112" Type="http://schemas.openxmlformats.org/officeDocument/2006/relationships/hyperlink" Target="http://www.sec.gov/Archives/edgar/data/936340/000119312512404288/d415349d424b2.htm" TargetMode="External"/><Relationship Id="rId133" Type="http://schemas.openxmlformats.org/officeDocument/2006/relationships/printerSettings" Target="../printerSettings/printerSettings4.bin"/><Relationship Id="rId16" Type="http://schemas.openxmlformats.org/officeDocument/2006/relationships/hyperlink" Target="http://www.tva.gov/finance/opportun/pdf/g47584.pdf" TargetMode="External"/><Relationship Id="rId107" Type="http://schemas.openxmlformats.org/officeDocument/2006/relationships/hyperlink" Target="http://www.marketwatch.com/investing/stock/CCV" TargetMode="External"/><Relationship Id="rId11" Type="http://schemas.openxmlformats.org/officeDocument/2006/relationships/hyperlink" Target="http://www.quantumonline.com/debttable.cfm?SortColumn=MoodysCode&amp;Sortorder=ASC" TargetMode="External"/><Relationship Id="rId32" Type="http://schemas.openxmlformats.org/officeDocument/2006/relationships/hyperlink" Target="https://www.nyse.com/quote/XNYS:GEH" TargetMode="External"/><Relationship Id="rId37" Type="http://schemas.openxmlformats.org/officeDocument/2006/relationships/hyperlink" Target="http://www.quantumonline.com/search.cfm?tickersymbol=GEK&amp;sopt=symbol" TargetMode="External"/><Relationship Id="rId53" Type="http://schemas.openxmlformats.org/officeDocument/2006/relationships/hyperlink" Target="http://www.marketwatch.com/investing/stock/ELB" TargetMode="External"/><Relationship Id="rId58" Type="http://schemas.openxmlformats.org/officeDocument/2006/relationships/hyperlink" Target="http://www.sec.gov/Archives/edgar/data/1348952/000006598412000140/d368812d424b2.htm" TargetMode="External"/><Relationship Id="rId74" Type="http://schemas.openxmlformats.org/officeDocument/2006/relationships/hyperlink" Target="https://www.nyse.com/quote/XNYS:EMQ" TargetMode="External"/><Relationship Id="rId79" Type="http://schemas.openxmlformats.org/officeDocument/2006/relationships/hyperlink" Target="http://www.quantumonline.com/search.cfm?tickersymbol=EMZ&amp;sopt=symbol" TargetMode="External"/><Relationship Id="rId102" Type="http://schemas.openxmlformats.org/officeDocument/2006/relationships/hyperlink" Target="http://finance.yahoo.com/q?s=EFM" TargetMode="External"/><Relationship Id="rId123" Type="http://schemas.openxmlformats.org/officeDocument/2006/relationships/hyperlink" Target="https://www.nyse.com/quote/XNYS:DUKH" TargetMode="External"/><Relationship Id="rId128" Type="http://schemas.openxmlformats.org/officeDocument/2006/relationships/hyperlink" Target="https://www.nyse.com/quote/XNYS:ALLpB" TargetMode="External"/><Relationship Id="rId5" Type="http://schemas.openxmlformats.org/officeDocument/2006/relationships/hyperlink" Target="http://www.quantumonline.com/debttable.cfm?SortColumn=IPODate&amp;Sortorder=DESC" TargetMode="External"/><Relationship Id="rId90" Type="http://schemas.openxmlformats.org/officeDocument/2006/relationships/hyperlink" Target="http://finance.yahoo.com/q?s=EAA" TargetMode="External"/><Relationship Id="rId95" Type="http://schemas.openxmlformats.org/officeDocument/2006/relationships/hyperlink" Target="http://www.marketwatch.com/investing/stock/EAE" TargetMode="External"/><Relationship Id="rId14" Type="http://schemas.openxmlformats.org/officeDocument/2006/relationships/hyperlink" Target="https://www.nyse.com/quote/XNYS:TVC" TargetMode="External"/><Relationship Id="rId22" Type="http://schemas.openxmlformats.org/officeDocument/2006/relationships/hyperlink" Target="http://www.tva.gov/finance/opportun/pdf/g53944.pdf" TargetMode="External"/><Relationship Id="rId27" Type="http://schemas.openxmlformats.org/officeDocument/2006/relationships/hyperlink" Target="https://www.nyse.com/quote/XNYS:GEB" TargetMode="External"/><Relationship Id="rId30" Type="http://schemas.openxmlformats.org/officeDocument/2006/relationships/hyperlink" Target="http://finance.yahoo.com/q?s=GEB" TargetMode="External"/><Relationship Id="rId35" Type="http://schemas.openxmlformats.org/officeDocument/2006/relationships/hyperlink" Target="http://www.marketwatch.com/investing/stock/GEH" TargetMode="External"/><Relationship Id="rId43" Type="http://schemas.openxmlformats.org/officeDocument/2006/relationships/hyperlink" Target="http://www.quantumonline.com/search.cfm?tickersymbol=ELA&amp;sopt=symbol" TargetMode="External"/><Relationship Id="rId48" Type="http://schemas.openxmlformats.org/officeDocument/2006/relationships/hyperlink" Target="http://finance.yahoo.com/q?s=ELA" TargetMode="External"/><Relationship Id="rId56" Type="http://schemas.openxmlformats.org/officeDocument/2006/relationships/hyperlink" Target="https://www.nyse.com/quote/XNYS:ELJ" TargetMode="External"/><Relationship Id="rId64" Type="http://schemas.openxmlformats.org/officeDocument/2006/relationships/hyperlink" Target="http://www.sec.gov/Archives/edgar/data/1160106/000093041310003791/c62036_424b2.htm" TargetMode="External"/><Relationship Id="rId69" Type="http://schemas.openxmlformats.org/officeDocument/2006/relationships/hyperlink" Target="https://www.nyse.com/quote/XNYS:ELU" TargetMode="External"/><Relationship Id="rId77" Type="http://schemas.openxmlformats.org/officeDocument/2006/relationships/hyperlink" Target="http://www.marketwatch.com/investing/stock/EMQ" TargetMode="External"/><Relationship Id="rId100" Type="http://schemas.openxmlformats.org/officeDocument/2006/relationships/hyperlink" Target="http://www.sec.gov/Archives/edgar/data/66901/000006598410000079/d424b2.htm" TargetMode="External"/><Relationship Id="rId105" Type="http://schemas.openxmlformats.org/officeDocument/2006/relationships/hyperlink" Target="https://www.nyse.com/quote/XNYS:CCV" TargetMode="External"/><Relationship Id="rId113" Type="http://schemas.openxmlformats.org/officeDocument/2006/relationships/hyperlink" Target="http://www.marketwatch.com/investing/stock/DTQ" TargetMode="External"/><Relationship Id="rId118" Type="http://schemas.openxmlformats.org/officeDocument/2006/relationships/hyperlink" Target="http://www.sec.gov/Archives/edgar/data/936340/000119312511324670/d260952d424b2.htm" TargetMode="External"/><Relationship Id="rId126" Type="http://schemas.openxmlformats.org/officeDocument/2006/relationships/hyperlink" Target="http://finance.yahoo.com/q?s=DUKH" TargetMode="External"/><Relationship Id="rId8" Type="http://schemas.openxmlformats.org/officeDocument/2006/relationships/hyperlink" Target="http://www.quantumonline.com/debttable.cfm?SortColumn=PfdCallPrice&amp;Sortorder=DESC" TargetMode="External"/><Relationship Id="rId51" Type="http://schemas.openxmlformats.org/officeDocument/2006/relationships/hyperlink" Target="https://www.nyse.com/quote/XNYS:ELB" TargetMode="External"/><Relationship Id="rId72" Type="http://schemas.openxmlformats.org/officeDocument/2006/relationships/hyperlink" Target="http://finance.yahoo.com/q?s=ELU" TargetMode="External"/><Relationship Id="rId80" Type="http://schemas.openxmlformats.org/officeDocument/2006/relationships/hyperlink" Target="https://www.nyse.com/quote/XNYS:EMZ" TargetMode="External"/><Relationship Id="rId85" Type="http://schemas.openxmlformats.org/officeDocument/2006/relationships/hyperlink" Target="http://www.quantumonline.com/search.cfm?tickersymbol=EAA&amp;sopt=symbol" TargetMode="External"/><Relationship Id="rId93" Type="http://schemas.openxmlformats.org/officeDocument/2006/relationships/hyperlink" Target="https://www.nyse.com/quote/XNYS:EAE" TargetMode="External"/><Relationship Id="rId98" Type="http://schemas.openxmlformats.org/officeDocument/2006/relationships/hyperlink" Target="https://www.nyse.com/quote/XNYS:EFM" TargetMode="External"/><Relationship Id="rId121" Type="http://schemas.openxmlformats.org/officeDocument/2006/relationships/hyperlink" Target="http://www.quantumonline.com/search.cfm?tickersymbol=DUKH&amp;sopt=symbol" TargetMode="External"/><Relationship Id="rId3" Type="http://schemas.openxmlformats.org/officeDocument/2006/relationships/hyperlink" Target="http://www.quantumonline.com/debttable.cfm?SortColumn=Exchange&amp;Sortorder=ASC" TargetMode="External"/><Relationship Id="rId12" Type="http://schemas.openxmlformats.org/officeDocument/2006/relationships/hyperlink" Target="http://www.quantumonline.com/debttable.cfm?SortColumn=PfdDivPayDates&amp;Sortorder=ASC" TargetMode="External"/><Relationship Id="rId17" Type="http://schemas.openxmlformats.org/officeDocument/2006/relationships/hyperlink" Target="http://www.marketwatch.com/investing/stock/TVC" TargetMode="External"/><Relationship Id="rId25" Type="http://schemas.openxmlformats.org/officeDocument/2006/relationships/hyperlink" Target="http://www.quantumonline.com/search.cfm?tickersymbol=GEB&amp;sopt=symbol" TargetMode="External"/><Relationship Id="rId33" Type="http://schemas.openxmlformats.org/officeDocument/2006/relationships/hyperlink" Target="https://www.nyse.com/quote/XNYS:GEH" TargetMode="External"/><Relationship Id="rId38" Type="http://schemas.openxmlformats.org/officeDocument/2006/relationships/hyperlink" Target="https://www.nyse.com/quote/XNYS:GEK" TargetMode="External"/><Relationship Id="rId46" Type="http://schemas.openxmlformats.org/officeDocument/2006/relationships/hyperlink" Target="http://www.sec.gov/Archives/edgar/data/1348952/000006598410000235/h77499.htm" TargetMode="External"/><Relationship Id="rId59" Type="http://schemas.openxmlformats.org/officeDocument/2006/relationships/hyperlink" Target="http://www.marketwatch.com/investing/stock/ELJ" TargetMode="External"/><Relationship Id="rId67" Type="http://schemas.openxmlformats.org/officeDocument/2006/relationships/hyperlink" Target="http://www.quantumonline.com/search.cfm?tickersymbol=ELU&amp;sopt=symbol" TargetMode="External"/><Relationship Id="rId103" Type="http://schemas.openxmlformats.org/officeDocument/2006/relationships/hyperlink" Target="http://www.quantumonline.com/search.cfm?tickersymbol=CCV&amp;sopt=symbol" TargetMode="External"/><Relationship Id="rId108" Type="http://schemas.openxmlformats.org/officeDocument/2006/relationships/hyperlink" Target="http://finance.yahoo.com/q?s=CCV" TargetMode="External"/><Relationship Id="rId116" Type="http://schemas.openxmlformats.org/officeDocument/2006/relationships/hyperlink" Target="https://www.nyse.com/quote/XNYS:DTZ" TargetMode="External"/><Relationship Id="rId124" Type="http://schemas.openxmlformats.org/officeDocument/2006/relationships/hyperlink" Target="http://www.sec.gov/Archives/edgar/data/1326160/000104746913000149/a2212334z424b5.htm" TargetMode="External"/><Relationship Id="rId129" Type="http://schemas.openxmlformats.org/officeDocument/2006/relationships/hyperlink" Target="https://www.nyse.com/quote/XNYS:ALLpB" TargetMode="External"/><Relationship Id="rId20" Type="http://schemas.openxmlformats.org/officeDocument/2006/relationships/hyperlink" Target="https://www.nyse.com/quote/XNYS:TVE" TargetMode="External"/><Relationship Id="rId41" Type="http://schemas.openxmlformats.org/officeDocument/2006/relationships/hyperlink" Target="http://www.marketwatch.com/investing/stock/GEK" TargetMode="External"/><Relationship Id="rId54" Type="http://schemas.openxmlformats.org/officeDocument/2006/relationships/hyperlink" Target="http://finance.yahoo.com/q?s=ELB" TargetMode="External"/><Relationship Id="rId62" Type="http://schemas.openxmlformats.org/officeDocument/2006/relationships/hyperlink" Target="https://www.nyse.com/quote/XNYS:LYGpA" TargetMode="External"/><Relationship Id="rId70" Type="http://schemas.openxmlformats.org/officeDocument/2006/relationships/hyperlink" Target="http://www.sec.gov/Archives/edgar/data/1348952/000006598413000093/d531614d424b3.htm" TargetMode="External"/><Relationship Id="rId75" Type="http://schemas.openxmlformats.org/officeDocument/2006/relationships/hyperlink" Target="https://www.nyse.com/quote/XNYS:EMQ" TargetMode="External"/><Relationship Id="rId83" Type="http://schemas.openxmlformats.org/officeDocument/2006/relationships/hyperlink" Target="http://www.marketwatch.com/investing/stock/EMZ" TargetMode="External"/><Relationship Id="rId88" Type="http://schemas.openxmlformats.org/officeDocument/2006/relationships/hyperlink" Target="http://www.sec.gov/Archives/edgar/data/7323/000006598410000203/h76557.htm" TargetMode="External"/><Relationship Id="rId91" Type="http://schemas.openxmlformats.org/officeDocument/2006/relationships/hyperlink" Target="http://www.quantumonline.com/search.cfm?tickersymbol=EAE&amp;sopt=symbol" TargetMode="External"/><Relationship Id="rId96" Type="http://schemas.openxmlformats.org/officeDocument/2006/relationships/hyperlink" Target="http://finance.yahoo.com/q?s=EAE" TargetMode="External"/><Relationship Id="rId111" Type="http://schemas.openxmlformats.org/officeDocument/2006/relationships/hyperlink" Target="https://www.nyse.com/quote/XNYS:DTQ" TargetMode="External"/><Relationship Id="rId132" Type="http://schemas.openxmlformats.org/officeDocument/2006/relationships/hyperlink" Target="http://finance.yahoo.com/q?s=ALL-PB" TargetMode="External"/><Relationship Id="rId1" Type="http://schemas.openxmlformats.org/officeDocument/2006/relationships/hyperlink" Target="http://www.quantumonline.com/debttable.cfm?SortColumn=symbol&amp;Sortorder=ASC" TargetMode="External"/><Relationship Id="rId6" Type="http://schemas.openxmlformats.org/officeDocument/2006/relationships/hyperlink" Target="http://www.quantumonline.com/debttable.cfm?SortColumn=PfdDivRate&amp;Sortorder=DESC" TargetMode="External"/><Relationship Id="rId15" Type="http://schemas.openxmlformats.org/officeDocument/2006/relationships/hyperlink" Target="https://www.nyse.com/quote/XNYS:TVC" TargetMode="External"/><Relationship Id="rId23" Type="http://schemas.openxmlformats.org/officeDocument/2006/relationships/hyperlink" Target="http://www.marketwatch.com/investing/stock/TVE" TargetMode="External"/><Relationship Id="rId28" Type="http://schemas.openxmlformats.org/officeDocument/2006/relationships/hyperlink" Target="http://www.sec.gov/Archives/edgar/data/40554/000093041312005591/c71193_424b2.htm" TargetMode="External"/><Relationship Id="rId36" Type="http://schemas.openxmlformats.org/officeDocument/2006/relationships/hyperlink" Target="http://finance.yahoo.com/q?s=GEH" TargetMode="External"/><Relationship Id="rId49" Type="http://schemas.openxmlformats.org/officeDocument/2006/relationships/hyperlink" Target="http://www.quantumonline.com/search.cfm?tickersymbol=ELB&amp;sopt=symbol" TargetMode="External"/><Relationship Id="rId57" Type="http://schemas.openxmlformats.org/officeDocument/2006/relationships/hyperlink" Target="https://www.nyse.com/quote/XNYS:ELJ" TargetMode="External"/><Relationship Id="rId106" Type="http://schemas.openxmlformats.org/officeDocument/2006/relationships/hyperlink" Target="http://www.sec.gov/Archives/edgar/data/1166691/000119312512487836/d440628d424b2.htm" TargetMode="External"/><Relationship Id="rId114" Type="http://schemas.openxmlformats.org/officeDocument/2006/relationships/hyperlink" Target="http://finance.yahoo.com/q?s=DTQ" TargetMode="External"/><Relationship Id="rId119" Type="http://schemas.openxmlformats.org/officeDocument/2006/relationships/hyperlink" Target="http://www.marketwatch.com/investing/stock/DTZ" TargetMode="External"/><Relationship Id="rId127" Type="http://schemas.openxmlformats.org/officeDocument/2006/relationships/hyperlink" Target="http://www.quantumonline.com/search.cfm?tickersymbol=ALL-B&amp;sopt=symbol" TargetMode="External"/><Relationship Id="rId10" Type="http://schemas.openxmlformats.org/officeDocument/2006/relationships/hyperlink" Target="http://www.quantumonline.com/debttable.cfm?SortColumn=MoodysCode&amp;Sortorder=ASC" TargetMode="External"/><Relationship Id="rId31" Type="http://schemas.openxmlformats.org/officeDocument/2006/relationships/hyperlink" Target="http://www.quantumonline.com/search.cfm?tickersymbol=GEH&amp;sopt=symbol" TargetMode="External"/><Relationship Id="rId44" Type="http://schemas.openxmlformats.org/officeDocument/2006/relationships/hyperlink" Target="https://www.nyse.com/quote/XNYS:ELA" TargetMode="External"/><Relationship Id="rId52" Type="http://schemas.openxmlformats.org/officeDocument/2006/relationships/hyperlink" Target="http://www.sec.gov/Archives/edgar/data/1348952/000006598410000062/entergy.htm" TargetMode="External"/><Relationship Id="rId60" Type="http://schemas.openxmlformats.org/officeDocument/2006/relationships/hyperlink" Target="http://finance.yahoo.com/q?s=ELJ" TargetMode="External"/><Relationship Id="rId65" Type="http://schemas.openxmlformats.org/officeDocument/2006/relationships/hyperlink" Target="http://www.marketwatch.com/investing/stock/LYG.PA" TargetMode="External"/><Relationship Id="rId73" Type="http://schemas.openxmlformats.org/officeDocument/2006/relationships/hyperlink" Target="http://www.quantumonline.com/search.cfm?tickersymbol=EMQ&amp;sopt=symbol" TargetMode="External"/><Relationship Id="rId78" Type="http://schemas.openxmlformats.org/officeDocument/2006/relationships/hyperlink" Target="http://finance.yahoo.com/q?s=EMQ" TargetMode="External"/><Relationship Id="rId81" Type="http://schemas.openxmlformats.org/officeDocument/2006/relationships/hyperlink" Target="https://www.nyse.com/quote/XNYS:EMZ" TargetMode="External"/><Relationship Id="rId86" Type="http://schemas.openxmlformats.org/officeDocument/2006/relationships/hyperlink" Target="https://www.nyse.com/quote/XNYS:EAA" TargetMode="External"/><Relationship Id="rId94" Type="http://schemas.openxmlformats.org/officeDocument/2006/relationships/hyperlink" Target="http://www.sec.gov/Archives/edgar/data/7323/000006598413000112/d536104d424b2.htm" TargetMode="External"/><Relationship Id="rId99" Type="http://schemas.openxmlformats.org/officeDocument/2006/relationships/hyperlink" Target="https://www.nyse.com/quote/XNYS:EFM" TargetMode="External"/><Relationship Id="rId101" Type="http://schemas.openxmlformats.org/officeDocument/2006/relationships/hyperlink" Target="http://www.marketwatch.com/investing/stock/EFM" TargetMode="External"/><Relationship Id="rId122" Type="http://schemas.openxmlformats.org/officeDocument/2006/relationships/hyperlink" Target="https://www.nyse.com/quote/XNYS:DUKH" TargetMode="External"/><Relationship Id="rId130" Type="http://schemas.openxmlformats.org/officeDocument/2006/relationships/hyperlink" Target="http://www.sec.gov/Archives/edgar/data/899051/000104746913000048/a2212216z424b5.htm" TargetMode="External"/><Relationship Id="rId4" Type="http://schemas.openxmlformats.org/officeDocument/2006/relationships/hyperlink" Target="http://www.quantumonline.com/debttable.cfm?SortColumn=Exchange&amp;Sortorder=ASC" TargetMode="External"/><Relationship Id="rId9" Type="http://schemas.openxmlformats.org/officeDocument/2006/relationships/hyperlink" Target="http://www.quantumonline.com/debttable.cfm?SortColumn=PfdRedempDate&amp;Sortorder=DESC" TargetMode="External"/><Relationship Id="rId13" Type="http://schemas.openxmlformats.org/officeDocument/2006/relationships/hyperlink" Target="http://www.quantumonline.com/search.cfm?tickersymbol=TVC&amp;sopt=symbol" TargetMode="External"/><Relationship Id="rId18" Type="http://schemas.openxmlformats.org/officeDocument/2006/relationships/hyperlink" Target="http://finance.yahoo.com/q?s=TVC" TargetMode="External"/><Relationship Id="rId39" Type="http://schemas.openxmlformats.org/officeDocument/2006/relationships/hyperlink" Target="https://www.nyse.com/quote/XNYS:GEK" TargetMode="External"/><Relationship Id="rId109" Type="http://schemas.openxmlformats.org/officeDocument/2006/relationships/hyperlink" Target="http://www.quantumonline.com/search.cfm?tickersymbol=DTQ&amp;sopt=symbol" TargetMode="External"/><Relationship Id="rId34" Type="http://schemas.openxmlformats.org/officeDocument/2006/relationships/hyperlink" Target="http://www.sec.gov/Archives/edgar/data/40554/000093041313000336/c72308_424b2.htm" TargetMode="External"/><Relationship Id="rId50" Type="http://schemas.openxmlformats.org/officeDocument/2006/relationships/hyperlink" Target="https://www.nyse.com/quote/XNYS:ELB" TargetMode="External"/><Relationship Id="rId55" Type="http://schemas.openxmlformats.org/officeDocument/2006/relationships/hyperlink" Target="http://www.quantumonline.com/search.cfm?tickersymbol=ELJ&amp;sopt=symbol" TargetMode="External"/><Relationship Id="rId76" Type="http://schemas.openxmlformats.org/officeDocument/2006/relationships/hyperlink" Target="http://www.sec.gov/Archives/edgar/data/66901/0000065984-02-000208.txt" TargetMode="External"/><Relationship Id="rId97" Type="http://schemas.openxmlformats.org/officeDocument/2006/relationships/hyperlink" Target="http://www.quantumonline.com/search.cfm?tickersymbol=EFM&amp;sopt=symbol" TargetMode="External"/><Relationship Id="rId104" Type="http://schemas.openxmlformats.org/officeDocument/2006/relationships/hyperlink" Target="https://www.nyse.com/quote/XNYS:CCV" TargetMode="External"/><Relationship Id="rId120" Type="http://schemas.openxmlformats.org/officeDocument/2006/relationships/hyperlink" Target="http://finance.yahoo.com/q?s=DTZ" TargetMode="External"/><Relationship Id="rId125" Type="http://schemas.openxmlformats.org/officeDocument/2006/relationships/hyperlink" Target="http://www.marketwatch.com/investing/stock/DUKH" TargetMode="External"/><Relationship Id="rId7" Type="http://schemas.openxmlformats.org/officeDocument/2006/relationships/hyperlink" Target="http://www.quantumonline.com/debttable.cfm?SortColumn=PfdLiqPref&amp;Sortorder=DESC" TargetMode="External"/><Relationship Id="rId71" Type="http://schemas.openxmlformats.org/officeDocument/2006/relationships/hyperlink" Target="http://www.marketwatch.com/investing/stock/ELU" TargetMode="External"/><Relationship Id="rId92" Type="http://schemas.openxmlformats.org/officeDocument/2006/relationships/hyperlink" Target="https://www.nyse.com/quote/XNYS:EAE" TargetMode="External"/><Relationship Id="rId2" Type="http://schemas.openxmlformats.org/officeDocument/2006/relationships/hyperlink" Target="http://www.quantumonline.com/debttable.cfm?SortColumn=Company&amp;Sortorder=ASC" TargetMode="External"/><Relationship Id="rId29" Type="http://schemas.openxmlformats.org/officeDocument/2006/relationships/hyperlink" Target="http://www.marketwatch.com/investing/stock/GEB" TargetMode="External"/><Relationship Id="rId24" Type="http://schemas.openxmlformats.org/officeDocument/2006/relationships/hyperlink" Target="http://finance.yahoo.com/q?s=TVE" TargetMode="External"/><Relationship Id="rId40" Type="http://schemas.openxmlformats.org/officeDocument/2006/relationships/hyperlink" Target="http://www.sec.gov/Archives/edgar/data/40554/000093041313002894/c73747_424b2.htm" TargetMode="External"/><Relationship Id="rId45" Type="http://schemas.openxmlformats.org/officeDocument/2006/relationships/hyperlink" Target="https://www.nyse.com/quote/XNYS:ELA" TargetMode="External"/><Relationship Id="rId66" Type="http://schemas.openxmlformats.org/officeDocument/2006/relationships/hyperlink" Target="http://finance.yahoo.com/q?s=LYG-PA" TargetMode="External"/><Relationship Id="rId87" Type="http://schemas.openxmlformats.org/officeDocument/2006/relationships/hyperlink" Target="https://www.nyse.com/quote/XNYS:EAA" TargetMode="External"/><Relationship Id="rId110" Type="http://schemas.openxmlformats.org/officeDocument/2006/relationships/hyperlink" Target="https://www.nyse.com/quote/XNYS:DTQ" TargetMode="External"/><Relationship Id="rId115" Type="http://schemas.openxmlformats.org/officeDocument/2006/relationships/hyperlink" Target="http://www.quantumonline.com/search.cfm?tickersymbol=DTZ&amp;sopt=symbol" TargetMode="External"/><Relationship Id="rId131" Type="http://schemas.openxmlformats.org/officeDocument/2006/relationships/hyperlink" Target="http://www.marketwatch.com/investing/stock/ALL.PB" TargetMode="External"/><Relationship Id="rId61" Type="http://schemas.openxmlformats.org/officeDocument/2006/relationships/hyperlink" Target="http://www.quantumonline.com/search.cfm?tickersymbol=LYG-A&amp;sopt=symbol" TargetMode="External"/><Relationship Id="rId82" Type="http://schemas.openxmlformats.org/officeDocument/2006/relationships/hyperlink" Target="http://www.sec.gov/Archives/edgar/data/66901/000006598411000069/a01911.htm" TargetMode="External"/><Relationship Id="rId19" Type="http://schemas.openxmlformats.org/officeDocument/2006/relationships/hyperlink" Target="http://www.quantumonline.com/search.cfm?tickersymbol=TVE&amp;sopt=symbol"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2.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13.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online.wsj.com/mdc/public/page/2_3020-treasury-20140815.html?mod=mdc_pastcalendar" TargetMode="External"/></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online.wsj.com/mdc/public/page/2_3020-treasury-20140929.html?mod=mdc_pastcalendar" TargetMode="Externa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3" Type="http://schemas.openxmlformats.org/officeDocument/2006/relationships/hyperlink" Target="http://www.sstbond.com/" TargetMode="External"/><Relationship Id="rId7" Type="http://schemas.openxmlformats.org/officeDocument/2006/relationships/vmlDrawing" Target="../drawings/vmlDrawing3.vml"/><Relationship Id="rId2" Type="http://schemas.openxmlformats.org/officeDocument/2006/relationships/hyperlink" Target="javascript:lcs(document.getElementById('histcalendar'))" TargetMode="External"/><Relationship Id="rId1" Type="http://schemas.openxmlformats.org/officeDocument/2006/relationships/pivotTable" Target="../pivotTables/pivotTable1.xml"/><Relationship Id="rId6" Type="http://schemas.openxmlformats.org/officeDocument/2006/relationships/drawing" Target="../drawings/drawing5.xml"/><Relationship Id="rId5" Type="http://schemas.openxmlformats.org/officeDocument/2006/relationships/printerSettings" Target="../printerSettings/printerSettings24.bin"/><Relationship Id="rId4" Type="http://schemas.openxmlformats.org/officeDocument/2006/relationships/hyperlink" Target="http://online.wsj.com/mdc/public/page/2_3020-tstrips.html" TargetMode="Externa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http://www.econstats.com/bls/blsnaa8.htm" TargetMode="Externa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25.bin"/><Relationship Id="rId1" Type="http://schemas.openxmlformats.org/officeDocument/2006/relationships/hyperlink" Target="http://www.econstats.com/bls/blsnaa8.htm" TargetMode="External"/></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9.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0.bin"/></Relationships>
</file>

<file path=xl/worksheets/_rels/sheet35.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drawing" Target="../drawings/drawing10.xml"/><Relationship Id="rId1" Type="http://schemas.openxmlformats.org/officeDocument/2006/relationships/printerSettings" Target="../printerSettings/printerSettings31.bin"/><Relationship Id="rId4" Type="http://schemas.openxmlformats.org/officeDocument/2006/relationships/queryTable" Target="../queryTables/query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J64"/>
  <sheetViews>
    <sheetView zoomScale="70" zoomScaleNormal="70" workbookViewId="0">
      <selection activeCell="I11" sqref="I11:I13"/>
    </sheetView>
  </sheetViews>
  <sheetFormatPr defaultColWidth="8.7109375" defaultRowHeight="15" x14ac:dyDescent="0.2"/>
  <cols>
    <col min="1" max="1" width="11.5703125" style="173" bestFit="1" customWidth="1"/>
    <col min="2" max="2" width="28.28515625" style="164" customWidth="1"/>
    <col min="3" max="3" width="8.5703125" style="164" bestFit="1" customWidth="1"/>
    <col min="4" max="4" width="10" style="164" bestFit="1" customWidth="1"/>
    <col min="5" max="6" width="9.42578125" style="164" bestFit="1" customWidth="1"/>
    <col min="7" max="7" width="12.42578125" style="164" bestFit="1" customWidth="1"/>
    <col min="8" max="8" width="11.5703125" style="164" bestFit="1" customWidth="1"/>
    <col min="9" max="9" width="13.5703125" style="164" bestFit="1" customWidth="1"/>
    <col min="10" max="10" width="26.5703125" style="164" bestFit="1" customWidth="1"/>
    <col min="11" max="16384" width="8.7109375" style="164"/>
  </cols>
  <sheetData>
    <row r="1" spans="1:10" ht="15.75" x14ac:dyDescent="0.25">
      <c r="A1" s="214" t="s">
        <v>158</v>
      </c>
      <c r="B1" s="214"/>
      <c r="C1" s="214"/>
      <c r="D1" s="214"/>
      <c r="E1" s="214"/>
      <c r="F1" s="214"/>
      <c r="G1" s="214"/>
      <c r="H1" s="214"/>
      <c r="I1" s="214"/>
      <c r="J1" s="214"/>
    </row>
    <row r="2" spans="1:10" ht="15.75" x14ac:dyDescent="0.2">
      <c r="A2" s="215" t="s">
        <v>338</v>
      </c>
      <c r="B2" s="216"/>
      <c r="C2" s="216"/>
      <c r="D2" s="216"/>
      <c r="E2" s="216"/>
      <c r="F2" s="216"/>
      <c r="G2" s="216"/>
      <c r="H2" s="216"/>
      <c r="I2" s="216"/>
      <c r="J2" s="217"/>
    </row>
    <row r="3" spans="1:10" x14ac:dyDescent="0.2">
      <c r="A3" s="164" t="s">
        <v>301</v>
      </c>
      <c r="B3" s="218" t="s">
        <v>161</v>
      </c>
      <c r="C3" s="164" t="s">
        <v>302</v>
      </c>
      <c r="D3" s="218" t="s">
        <v>164</v>
      </c>
      <c r="E3" s="164" t="s">
        <v>303</v>
      </c>
      <c r="F3" s="164" t="s">
        <v>167</v>
      </c>
      <c r="G3" s="164" t="s">
        <v>169</v>
      </c>
      <c r="H3" s="164" t="s">
        <v>171</v>
      </c>
      <c r="I3" s="219" t="s">
        <v>174</v>
      </c>
      <c r="J3" s="218" t="s">
        <v>175</v>
      </c>
    </row>
    <row r="4" spans="1:10" ht="18" customHeight="1" x14ac:dyDescent="0.2">
      <c r="A4" s="165"/>
      <c r="B4" s="218"/>
      <c r="C4" s="164" t="s">
        <v>163</v>
      </c>
      <c r="D4" s="218"/>
      <c r="E4" s="165" t="s">
        <v>166</v>
      </c>
      <c r="F4" s="164" t="s">
        <v>168</v>
      </c>
      <c r="G4" s="165" t="s">
        <v>170</v>
      </c>
      <c r="H4" s="164" t="s">
        <v>172</v>
      </c>
      <c r="I4" s="220"/>
      <c r="J4" s="218"/>
    </row>
    <row r="5" spans="1:10" ht="30" x14ac:dyDescent="0.2">
      <c r="A5" s="164" t="s">
        <v>298</v>
      </c>
      <c r="B5" s="221" t="s">
        <v>299</v>
      </c>
      <c r="C5" s="164" t="s">
        <v>176</v>
      </c>
      <c r="D5" s="224">
        <v>35832</v>
      </c>
      <c r="E5" s="166" t="s">
        <v>295</v>
      </c>
      <c r="F5" s="166" t="s">
        <v>178</v>
      </c>
      <c r="G5" s="166" t="s">
        <v>296</v>
      </c>
      <c r="H5" s="167" t="s">
        <v>339</v>
      </c>
      <c r="I5" s="218" t="s">
        <v>183</v>
      </c>
      <c r="J5" s="166" t="s">
        <v>203</v>
      </c>
    </row>
    <row r="6" spans="1:10" x14ac:dyDescent="0.2">
      <c r="A6" s="168">
        <v>880591300</v>
      </c>
      <c r="B6" s="222"/>
      <c r="C6" s="164" t="s">
        <v>177</v>
      </c>
      <c r="D6" s="225"/>
      <c r="E6" s="168" t="s">
        <v>291</v>
      </c>
      <c r="F6" s="168" t="s">
        <v>291</v>
      </c>
      <c r="G6" s="169">
        <v>46758</v>
      </c>
      <c r="H6" s="168" t="s">
        <v>181</v>
      </c>
      <c r="I6" s="218"/>
      <c r="J6" s="164" t="s">
        <v>184</v>
      </c>
    </row>
    <row r="7" spans="1:10" x14ac:dyDescent="0.2">
      <c r="A7" s="170"/>
      <c r="B7" s="223"/>
      <c r="C7" s="170"/>
      <c r="D7" s="226"/>
      <c r="E7" s="170"/>
      <c r="F7" s="170"/>
      <c r="G7" s="170"/>
      <c r="H7" s="170"/>
      <c r="I7" s="218"/>
      <c r="J7" s="164" t="s">
        <v>185</v>
      </c>
    </row>
    <row r="8" spans="1:10" ht="30" x14ac:dyDescent="0.2">
      <c r="A8" s="164" t="s">
        <v>292</v>
      </c>
      <c r="B8" s="221" t="s">
        <v>293</v>
      </c>
      <c r="C8" s="164" t="s">
        <v>176</v>
      </c>
      <c r="D8" s="227" t="s">
        <v>294</v>
      </c>
      <c r="E8" s="166" t="s">
        <v>295</v>
      </c>
      <c r="F8" s="166" t="s">
        <v>178</v>
      </c>
      <c r="G8" s="166" t="s">
        <v>296</v>
      </c>
      <c r="H8" s="167" t="s">
        <v>339</v>
      </c>
      <c r="I8" s="218" t="s">
        <v>183</v>
      </c>
      <c r="J8" s="166" t="s">
        <v>202</v>
      </c>
    </row>
    <row r="9" spans="1:10" x14ac:dyDescent="0.2">
      <c r="A9" s="168">
        <v>880591409</v>
      </c>
      <c r="B9" s="222"/>
      <c r="C9" s="164" t="s">
        <v>177</v>
      </c>
      <c r="D9" s="228"/>
      <c r="E9" s="168" t="s">
        <v>291</v>
      </c>
      <c r="F9" s="168" t="s">
        <v>291</v>
      </c>
      <c r="G9" s="169">
        <v>47123</v>
      </c>
      <c r="H9" s="168" t="s">
        <v>181</v>
      </c>
      <c r="I9" s="218"/>
      <c r="J9" s="164" t="s">
        <v>184</v>
      </c>
    </row>
    <row r="10" spans="1:10" x14ac:dyDescent="0.2">
      <c r="A10" s="170"/>
      <c r="B10" s="223"/>
      <c r="C10" s="170"/>
      <c r="D10" s="229"/>
      <c r="E10" s="170"/>
      <c r="F10" s="170"/>
      <c r="G10" s="170"/>
      <c r="H10" s="170"/>
      <c r="I10" s="218"/>
      <c r="J10" s="164" t="s">
        <v>185</v>
      </c>
    </row>
    <row r="11" spans="1:10" ht="30" x14ac:dyDescent="0.2">
      <c r="A11" s="164" t="s">
        <v>284</v>
      </c>
      <c r="B11" s="221" t="s">
        <v>285</v>
      </c>
      <c r="C11" s="164" t="s">
        <v>176</v>
      </c>
      <c r="D11" s="224">
        <v>40949</v>
      </c>
      <c r="E11" s="171">
        <v>4.8800000000000003E-2</v>
      </c>
      <c r="F11" s="166" t="s">
        <v>178</v>
      </c>
      <c r="G11" s="166" t="s">
        <v>198</v>
      </c>
      <c r="H11" s="167" t="s">
        <v>340</v>
      </c>
      <c r="I11" s="218" t="s">
        <v>183</v>
      </c>
      <c r="J11" s="166" t="s">
        <v>188</v>
      </c>
    </row>
    <row r="12" spans="1:10" ht="30" x14ac:dyDescent="0.2">
      <c r="A12" s="168">
        <v>369622428</v>
      </c>
      <c r="B12" s="222"/>
      <c r="C12" s="164" t="s">
        <v>177</v>
      </c>
      <c r="D12" s="225"/>
      <c r="E12" s="168" t="s">
        <v>280</v>
      </c>
      <c r="F12" s="168" t="s">
        <v>179</v>
      </c>
      <c r="G12" s="168" t="s">
        <v>286</v>
      </c>
      <c r="H12" s="168" t="s">
        <v>187</v>
      </c>
      <c r="I12" s="218"/>
      <c r="J12" s="164" t="s">
        <v>184</v>
      </c>
    </row>
    <row r="13" spans="1:10" x14ac:dyDescent="0.2">
      <c r="A13" s="170"/>
      <c r="B13" s="223"/>
      <c r="C13" s="170"/>
      <c r="D13" s="226"/>
      <c r="E13" s="170"/>
      <c r="F13" s="170"/>
      <c r="G13" s="170"/>
      <c r="H13" s="170"/>
      <c r="I13" s="218"/>
      <c r="J13" s="164" t="s">
        <v>185</v>
      </c>
    </row>
    <row r="14" spans="1:10" ht="15.75" x14ac:dyDescent="0.2">
      <c r="A14" s="164" t="s">
        <v>277</v>
      </c>
      <c r="B14" s="221" t="s">
        <v>278</v>
      </c>
      <c r="C14" s="164" t="s">
        <v>176</v>
      </c>
      <c r="D14" s="227" t="s">
        <v>279</v>
      </c>
      <c r="E14" s="171">
        <v>4.8800000000000003E-2</v>
      </c>
      <c r="F14" s="166" t="s">
        <v>178</v>
      </c>
      <c r="G14" s="166" t="s">
        <v>281</v>
      </c>
      <c r="H14" s="167" t="s">
        <v>340</v>
      </c>
      <c r="I14" s="218" t="s">
        <v>183</v>
      </c>
      <c r="J14" s="166" t="s">
        <v>283</v>
      </c>
    </row>
    <row r="15" spans="1:10" ht="30" x14ac:dyDescent="0.2">
      <c r="A15" s="168">
        <v>369622410</v>
      </c>
      <c r="B15" s="222"/>
      <c r="C15" s="164" t="s">
        <v>177</v>
      </c>
      <c r="D15" s="228"/>
      <c r="E15" s="168" t="s">
        <v>280</v>
      </c>
      <c r="F15" s="168" t="s">
        <v>179</v>
      </c>
      <c r="G15" s="168" t="s">
        <v>282</v>
      </c>
      <c r="H15" s="168" t="s">
        <v>187</v>
      </c>
      <c r="I15" s="218"/>
      <c r="J15" s="164" t="s">
        <v>184</v>
      </c>
    </row>
    <row r="16" spans="1:10" x14ac:dyDescent="0.2">
      <c r="A16" s="170"/>
      <c r="B16" s="223"/>
      <c r="C16" s="170"/>
      <c r="D16" s="229"/>
      <c r="E16" s="170"/>
      <c r="F16" s="170"/>
      <c r="G16" s="170"/>
      <c r="H16" s="170"/>
      <c r="I16" s="218"/>
      <c r="J16" s="164" t="s">
        <v>185</v>
      </c>
    </row>
    <row r="17" spans="1:10" ht="15.75" x14ac:dyDescent="0.2">
      <c r="A17" s="164" t="s">
        <v>271</v>
      </c>
      <c r="B17" s="221" t="s">
        <v>272</v>
      </c>
      <c r="C17" s="164" t="s">
        <v>176</v>
      </c>
      <c r="D17" s="224">
        <v>41522</v>
      </c>
      <c r="E17" s="171">
        <v>4.7E-2</v>
      </c>
      <c r="F17" s="166" t="s">
        <v>178</v>
      </c>
      <c r="G17" s="166" t="s">
        <v>273</v>
      </c>
      <c r="H17" s="167" t="s">
        <v>340</v>
      </c>
      <c r="I17" s="218" t="s">
        <v>183</v>
      </c>
      <c r="J17" s="166" t="s">
        <v>276</v>
      </c>
    </row>
    <row r="18" spans="1:10" x14ac:dyDescent="0.2">
      <c r="A18" s="168">
        <v>369622394</v>
      </c>
      <c r="B18" s="222"/>
      <c r="C18" s="164" t="s">
        <v>177</v>
      </c>
      <c r="D18" s="225"/>
      <c r="E18" s="168" t="s">
        <v>256</v>
      </c>
      <c r="F18" s="168" t="s">
        <v>179</v>
      </c>
      <c r="G18" s="168" t="s">
        <v>274</v>
      </c>
      <c r="H18" s="168" t="s">
        <v>187</v>
      </c>
      <c r="I18" s="218"/>
      <c r="J18" s="164" t="s">
        <v>184</v>
      </c>
    </row>
    <row r="19" spans="1:10" x14ac:dyDescent="0.2">
      <c r="A19" s="170"/>
      <c r="B19" s="223"/>
      <c r="C19" s="170"/>
      <c r="D19" s="226"/>
      <c r="E19" s="170"/>
      <c r="F19" s="170"/>
      <c r="G19" s="170"/>
      <c r="H19" s="170"/>
      <c r="I19" s="218"/>
      <c r="J19" s="164" t="s">
        <v>185</v>
      </c>
    </row>
    <row r="20" spans="1:10" ht="30" x14ac:dyDescent="0.2">
      <c r="A20" s="164" t="s">
        <v>239</v>
      </c>
      <c r="B20" s="221" t="s">
        <v>241</v>
      </c>
      <c r="C20" s="164" t="s">
        <v>176</v>
      </c>
      <c r="D20" s="227" t="s">
        <v>242</v>
      </c>
      <c r="E20" s="171">
        <v>5.8799999999999998E-2</v>
      </c>
      <c r="F20" s="166" t="s">
        <v>178</v>
      </c>
      <c r="G20" s="166" t="s">
        <v>243</v>
      </c>
      <c r="H20" s="167" t="s">
        <v>341</v>
      </c>
      <c r="I20" s="218" t="s">
        <v>183</v>
      </c>
      <c r="J20" s="166" t="s">
        <v>189</v>
      </c>
    </row>
    <row r="21" spans="1:10" ht="30" x14ac:dyDescent="0.2">
      <c r="A21" s="168" t="s">
        <v>240</v>
      </c>
      <c r="B21" s="222"/>
      <c r="C21" s="164" t="s">
        <v>177</v>
      </c>
      <c r="D21" s="228"/>
      <c r="E21" s="168" t="s">
        <v>196</v>
      </c>
      <c r="F21" s="168" t="s">
        <v>179</v>
      </c>
      <c r="G21" s="168" t="s">
        <v>244</v>
      </c>
      <c r="H21" s="168" t="s">
        <v>181</v>
      </c>
      <c r="I21" s="218"/>
      <c r="J21" s="164" t="s">
        <v>184</v>
      </c>
    </row>
    <row r="22" spans="1:10" x14ac:dyDescent="0.2">
      <c r="A22" s="170"/>
      <c r="B22" s="223"/>
      <c r="C22" s="170"/>
      <c r="D22" s="229"/>
      <c r="E22" s="170"/>
      <c r="F22" s="170"/>
      <c r="G22" s="170"/>
      <c r="H22" s="170"/>
      <c r="I22" s="218"/>
      <c r="J22" s="164" t="s">
        <v>185</v>
      </c>
    </row>
    <row r="23" spans="1:10" ht="15.75" x14ac:dyDescent="0.2">
      <c r="A23" s="164" t="s">
        <v>245</v>
      </c>
      <c r="B23" s="221" t="s">
        <v>247</v>
      </c>
      <c r="C23" s="164" t="s">
        <v>176</v>
      </c>
      <c r="D23" s="227" t="s">
        <v>248</v>
      </c>
      <c r="E23" s="171">
        <v>0.06</v>
      </c>
      <c r="F23" s="166" t="s">
        <v>178</v>
      </c>
      <c r="G23" s="166" t="s">
        <v>250</v>
      </c>
      <c r="H23" s="167" t="s">
        <v>341</v>
      </c>
      <c r="I23" s="218" t="s">
        <v>183</v>
      </c>
      <c r="J23" s="166" t="s">
        <v>189</v>
      </c>
    </row>
    <row r="24" spans="1:10" ht="30" x14ac:dyDescent="0.2">
      <c r="A24" s="168" t="s">
        <v>246</v>
      </c>
      <c r="B24" s="222"/>
      <c r="C24" s="164" t="s">
        <v>177</v>
      </c>
      <c r="D24" s="228"/>
      <c r="E24" s="168" t="s">
        <v>249</v>
      </c>
      <c r="F24" s="168" t="s">
        <v>179</v>
      </c>
      <c r="G24" s="168" t="s">
        <v>251</v>
      </c>
      <c r="H24" s="168" t="s">
        <v>181</v>
      </c>
      <c r="I24" s="218"/>
      <c r="J24" s="164" t="s">
        <v>184</v>
      </c>
    </row>
    <row r="25" spans="1:10" x14ac:dyDescent="0.2">
      <c r="A25" s="170"/>
      <c r="B25" s="223"/>
      <c r="C25" s="170"/>
      <c r="D25" s="229"/>
      <c r="E25" s="170"/>
      <c r="F25" s="170"/>
      <c r="G25" s="170"/>
      <c r="H25" s="170"/>
      <c r="I25" s="218"/>
      <c r="J25" s="164" t="s">
        <v>185</v>
      </c>
    </row>
    <row r="26" spans="1:10" ht="15.75" x14ac:dyDescent="0.2">
      <c r="A26" s="164" t="s">
        <v>234</v>
      </c>
      <c r="B26" s="221" t="s">
        <v>236</v>
      </c>
      <c r="C26" s="164" t="s">
        <v>176</v>
      </c>
      <c r="D26" s="227" t="s">
        <v>237</v>
      </c>
      <c r="E26" s="171">
        <v>5.2499999999999998E-2</v>
      </c>
      <c r="F26" s="166" t="s">
        <v>178</v>
      </c>
      <c r="G26" s="172">
        <v>42742</v>
      </c>
      <c r="H26" s="167" t="s">
        <v>341</v>
      </c>
      <c r="I26" s="218" t="s">
        <v>183</v>
      </c>
      <c r="J26" s="166" t="s">
        <v>199</v>
      </c>
    </row>
    <row r="27" spans="1:10" ht="30" x14ac:dyDescent="0.2">
      <c r="A27" s="168" t="s">
        <v>235</v>
      </c>
      <c r="B27" s="222"/>
      <c r="C27" s="164" t="s">
        <v>177</v>
      </c>
      <c r="D27" s="228"/>
      <c r="E27" s="168" t="s">
        <v>186</v>
      </c>
      <c r="F27" s="168" t="s">
        <v>179</v>
      </c>
      <c r="G27" s="169">
        <v>55525</v>
      </c>
      <c r="H27" s="168" t="s">
        <v>181</v>
      </c>
      <c r="I27" s="218"/>
      <c r="J27" s="164" t="s">
        <v>184</v>
      </c>
    </row>
    <row r="28" spans="1:10" x14ac:dyDescent="0.2">
      <c r="A28" s="170"/>
      <c r="B28" s="223"/>
      <c r="C28" s="170"/>
      <c r="D28" s="229"/>
      <c r="E28" s="170"/>
      <c r="F28" s="170"/>
      <c r="G28" s="170"/>
      <c r="H28" s="170"/>
      <c r="I28" s="218"/>
      <c r="J28" s="164" t="s">
        <v>185</v>
      </c>
    </row>
    <row r="29" spans="1:10" ht="15.75" x14ac:dyDescent="0.2">
      <c r="A29" s="164" t="s">
        <v>287</v>
      </c>
      <c r="B29" s="221" t="s">
        <v>288</v>
      </c>
      <c r="C29" s="164" t="s">
        <v>176</v>
      </c>
      <c r="D29" s="224">
        <v>40216</v>
      </c>
      <c r="E29" s="171">
        <v>7.7499999999999999E-2</v>
      </c>
      <c r="F29" s="166" t="s">
        <v>178</v>
      </c>
      <c r="G29" s="166" t="s">
        <v>289</v>
      </c>
      <c r="H29" s="167" t="s">
        <v>341</v>
      </c>
      <c r="I29" s="218" t="s">
        <v>183</v>
      </c>
      <c r="J29" s="166" t="s">
        <v>188</v>
      </c>
    </row>
    <row r="30" spans="1:10" ht="30" x14ac:dyDescent="0.2">
      <c r="A30" s="168">
        <v>539439802</v>
      </c>
      <c r="B30" s="222"/>
      <c r="C30" s="164" t="s">
        <v>177</v>
      </c>
      <c r="D30" s="225"/>
      <c r="E30" s="168" t="s">
        <v>200</v>
      </c>
      <c r="F30" s="168" t="s">
        <v>179</v>
      </c>
      <c r="G30" s="168" t="s">
        <v>290</v>
      </c>
      <c r="H30" s="168" t="s">
        <v>187</v>
      </c>
      <c r="I30" s="218"/>
      <c r="J30" s="164" t="s">
        <v>184</v>
      </c>
    </row>
    <row r="31" spans="1:10" x14ac:dyDescent="0.2">
      <c r="A31" s="170"/>
      <c r="B31" s="223"/>
      <c r="C31" s="170"/>
      <c r="D31" s="226"/>
      <c r="E31" s="170"/>
      <c r="F31" s="170"/>
      <c r="G31" s="170"/>
      <c r="H31" s="170"/>
      <c r="I31" s="218"/>
      <c r="J31" s="164" t="s">
        <v>185</v>
      </c>
    </row>
    <row r="32" spans="1:10" ht="15.75" x14ac:dyDescent="0.2">
      <c r="A32" s="164" t="s">
        <v>252</v>
      </c>
      <c r="B32" s="221" t="s">
        <v>254</v>
      </c>
      <c r="C32" s="164" t="s">
        <v>176</v>
      </c>
      <c r="D32" s="227" t="s">
        <v>255</v>
      </c>
      <c r="E32" s="171">
        <v>4.7E-2</v>
      </c>
      <c r="F32" s="166" t="s">
        <v>178</v>
      </c>
      <c r="G32" s="172">
        <v>43106</v>
      </c>
      <c r="H32" s="167" t="s">
        <v>342</v>
      </c>
      <c r="I32" s="218" t="s">
        <v>183</v>
      </c>
      <c r="J32" s="166" t="s">
        <v>203</v>
      </c>
    </row>
    <row r="33" spans="1:10" ht="30" x14ac:dyDescent="0.2">
      <c r="A33" s="168" t="s">
        <v>253</v>
      </c>
      <c r="B33" s="222"/>
      <c r="C33" s="164" t="s">
        <v>177</v>
      </c>
      <c r="D33" s="228"/>
      <c r="E33" s="168" t="s">
        <v>256</v>
      </c>
      <c r="F33" s="168" t="s">
        <v>179</v>
      </c>
      <c r="G33" s="169">
        <v>59542</v>
      </c>
      <c r="H33" s="168" t="s">
        <v>187</v>
      </c>
      <c r="I33" s="218"/>
      <c r="J33" s="164" t="s">
        <v>184</v>
      </c>
    </row>
    <row r="34" spans="1:10" x14ac:dyDescent="0.2">
      <c r="A34" s="170"/>
      <c r="B34" s="223"/>
      <c r="C34" s="170"/>
      <c r="D34" s="229"/>
      <c r="E34" s="170"/>
      <c r="F34" s="170"/>
      <c r="G34" s="170"/>
      <c r="H34" s="170"/>
      <c r="I34" s="218"/>
      <c r="J34" s="164" t="s">
        <v>185</v>
      </c>
    </row>
    <row r="35" spans="1:10" ht="15.75" x14ac:dyDescent="0.2">
      <c r="A35" s="164" t="s">
        <v>257</v>
      </c>
      <c r="B35" s="221" t="s">
        <v>259</v>
      </c>
      <c r="C35" s="164" t="s">
        <v>176</v>
      </c>
      <c r="D35" s="227" t="s">
        <v>260</v>
      </c>
      <c r="E35" s="171">
        <v>0.06</v>
      </c>
      <c r="F35" s="166" t="s">
        <v>178</v>
      </c>
      <c r="G35" s="172">
        <v>39093</v>
      </c>
      <c r="H35" s="167" t="s">
        <v>342</v>
      </c>
      <c r="I35" s="218" t="s">
        <v>183</v>
      </c>
      <c r="J35" s="166" t="s">
        <v>202</v>
      </c>
    </row>
    <row r="36" spans="1:10" ht="30" x14ac:dyDescent="0.2">
      <c r="A36" s="168" t="s">
        <v>258</v>
      </c>
      <c r="B36" s="222"/>
      <c r="C36" s="164" t="s">
        <v>177</v>
      </c>
      <c r="D36" s="228"/>
      <c r="E36" s="168" t="s">
        <v>261</v>
      </c>
      <c r="F36" s="168" t="s">
        <v>179</v>
      </c>
      <c r="G36" s="169">
        <v>48224</v>
      </c>
      <c r="H36" s="168" t="s">
        <v>187</v>
      </c>
      <c r="I36" s="218"/>
      <c r="J36" s="164" t="s">
        <v>184</v>
      </c>
    </row>
    <row r="37" spans="1:10" x14ac:dyDescent="0.2">
      <c r="A37" s="170"/>
      <c r="B37" s="223"/>
      <c r="C37" s="170"/>
      <c r="D37" s="229"/>
      <c r="E37" s="170"/>
      <c r="F37" s="170"/>
      <c r="G37" s="170"/>
      <c r="H37" s="170"/>
      <c r="I37" s="218"/>
      <c r="J37" s="164" t="s">
        <v>185</v>
      </c>
    </row>
    <row r="38" spans="1:10" ht="15.75" x14ac:dyDescent="0.2">
      <c r="A38" s="164" t="s">
        <v>262</v>
      </c>
      <c r="B38" s="221" t="s">
        <v>264</v>
      </c>
      <c r="C38" s="164" t="s">
        <v>176</v>
      </c>
      <c r="D38" s="227" t="s">
        <v>265</v>
      </c>
      <c r="E38" s="171">
        <v>0.06</v>
      </c>
      <c r="F38" s="166" t="s">
        <v>178</v>
      </c>
      <c r="G38" s="172">
        <v>42374</v>
      </c>
      <c r="H38" s="167" t="s">
        <v>342</v>
      </c>
      <c r="I38" s="218" t="s">
        <v>183</v>
      </c>
      <c r="J38" s="166" t="s">
        <v>202</v>
      </c>
    </row>
    <row r="39" spans="1:10" ht="30" x14ac:dyDescent="0.2">
      <c r="A39" s="168" t="s">
        <v>263</v>
      </c>
      <c r="B39" s="222"/>
      <c r="C39" s="164" t="s">
        <v>177</v>
      </c>
      <c r="D39" s="228"/>
      <c r="E39" s="168" t="s">
        <v>249</v>
      </c>
      <c r="F39" s="168" t="s">
        <v>179</v>
      </c>
      <c r="G39" s="169">
        <v>55158</v>
      </c>
      <c r="H39" s="168" t="s">
        <v>187</v>
      </c>
      <c r="I39" s="218"/>
      <c r="J39" s="164" t="s">
        <v>184</v>
      </c>
    </row>
    <row r="40" spans="1:10" x14ac:dyDescent="0.2">
      <c r="A40" s="170"/>
      <c r="B40" s="223"/>
      <c r="C40" s="170"/>
      <c r="D40" s="229"/>
      <c r="E40" s="170"/>
      <c r="F40" s="170"/>
      <c r="G40" s="170"/>
      <c r="H40" s="170"/>
      <c r="I40" s="218"/>
      <c r="J40" s="164" t="s">
        <v>185</v>
      </c>
    </row>
    <row r="41" spans="1:10" ht="15.75" x14ac:dyDescent="0.2">
      <c r="A41" s="164" t="s">
        <v>226</v>
      </c>
      <c r="B41" s="221" t="s">
        <v>228</v>
      </c>
      <c r="C41" s="164" t="s">
        <v>176</v>
      </c>
      <c r="D41" s="224">
        <v>40339</v>
      </c>
      <c r="E41" s="171">
        <v>5.7500000000000002E-2</v>
      </c>
      <c r="F41" s="166" t="s">
        <v>178</v>
      </c>
      <c r="G41" s="172">
        <v>42015</v>
      </c>
      <c r="H41" s="167" t="s">
        <v>342</v>
      </c>
      <c r="I41" s="218" t="s">
        <v>183</v>
      </c>
      <c r="J41" s="166" t="s">
        <v>202</v>
      </c>
    </row>
    <row r="42" spans="1:10" ht="30" x14ac:dyDescent="0.2">
      <c r="A42" s="168" t="s">
        <v>227</v>
      </c>
      <c r="B42" s="222"/>
      <c r="C42" s="164" t="s">
        <v>177</v>
      </c>
      <c r="D42" s="225"/>
      <c r="E42" s="168" t="s">
        <v>197</v>
      </c>
      <c r="F42" s="168" t="s">
        <v>179</v>
      </c>
      <c r="G42" s="169">
        <v>51146</v>
      </c>
      <c r="H42" s="168" t="s">
        <v>187</v>
      </c>
      <c r="I42" s="218"/>
      <c r="J42" s="164" t="s">
        <v>184</v>
      </c>
    </row>
    <row r="43" spans="1:10" x14ac:dyDescent="0.2">
      <c r="A43" s="170"/>
      <c r="B43" s="223"/>
      <c r="C43" s="170"/>
      <c r="D43" s="226"/>
      <c r="E43" s="170"/>
      <c r="F43" s="170"/>
      <c r="G43" s="170"/>
      <c r="H43" s="170"/>
      <c r="I43" s="218"/>
      <c r="J43" s="164" t="s">
        <v>185</v>
      </c>
    </row>
    <row r="44" spans="1:10" ht="15.75" x14ac:dyDescent="0.2">
      <c r="A44" s="164" t="s">
        <v>229</v>
      </c>
      <c r="B44" s="221" t="s">
        <v>231</v>
      </c>
      <c r="C44" s="164" t="s">
        <v>176</v>
      </c>
      <c r="D44" s="227" t="s">
        <v>232</v>
      </c>
      <c r="E44" s="171">
        <v>4.7500000000000001E-2</v>
      </c>
      <c r="F44" s="166" t="s">
        <v>178</v>
      </c>
      <c r="G44" s="172">
        <v>43106</v>
      </c>
      <c r="H44" s="167" t="s">
        <v>342</v>
      </c>
      <c r="I44" s="218" t="s">
        <v>183</v>
      </c>
      <c r="J44" s="166" t="s">
        <v>203</v>
      </c>
    </row>
    <row r="45" spans="1:10" ht="30" x14ac:dyDescent="0.2">
      <c r="A45" s="168" t="s">
        <v>230</v>
      </c>
      <c r="B45" s="222"/>
      <c r="C45" s="164" t="s">
        <v>177</v>
      </c>
      <c r="D45" s="228"/>
      <c r="E45" s="168" t="s">
        <v>233</v>
      </c>
      <c r="F45" s="168" t="s">
        <v>179</v>
      </c>
      <c r="G45" s="169">
        <v>59542</v>
      </c>
      <c r="H45" s="168" t="s">
        <v>187</v>
      </c>
      <c r="I45" s="218"/>
      <c r="J45" s="164" t="s">
        <v>184</v>
      </c>
    </row>
    <row r="46" spans="1:10" x14ac:dyDescent="0.2">
      <c r="A46" s="170"/>
      <c r="B46" s="223"/>
      <c r="C46" s="170"/>
      <c r="D46" s="229"/>
      <c r="E46" s="170"/>
      <c r="F46" s="170"/>
      <c r="G46" s="170"/>
      <c r="H46" s="170"/>
      <c r="I46" s="218"/>
      <c r="J46" s="164" t="s">
        <v>185</v>
      </c>
    </row>
    <row r="47" spans="1:10" ht="15.75" x14ac:dyDescent="0.2">
      <c r="A47" s="164" t="s">
        <v>266</v>
      </c>
      <c r="B47" s="221" t="s">
        <v>268</v>
      </c>
      <c r="C47" s="164" t="s">
        <v>176</v>
      </c>
      <c r="D47" s="224">
        <v>40394</v>
      </c>
      <c r="E47" s="171">
        <v>6.2E-2</v>
      </c>
      <c r="F47" s="166" t="s">
        <v>178</v>
      </c>
      <c r="G47" s="166" t="s">
        <v>204</v>
      </c>
      <c r="H47" s="167" t="s">
        <v>342</v>
      </c>
      <c r="I47" s="218" t="s">
        <v>183</v>
      </c>
      <c r="J47" s="166" t="s">
        <v>188</v>
      </c>
    </row>
    <row r="48" spans="1:10" ht="30" x14ac:dyDescent="0.2">
      <c r="A48" s="168" t="s">
        <v>267</v>
      </c>
      <c r="B48" s="222"/>
      <c r="C48" s="164" t="s">
        <v>177</v>
      </c>
      <c r="D48" s="225"/>
      <c r="E48" s="168" t="s">
        <v>269</v>
      </c>
      <c r="F48" s="168" t="s">
        <v>179</v>
      </c>
      <c r="G48" s="168" t="s">
        <v>270</v>
      </c>
      <c r="H48" s="168" t="s">
        <v>187</v>
      </c>
      <c r="I48" s="218"/>
      <c r="J48" s="164" t="s">
        <v>184</v>
      </c>
    </row>
    <row r="49" spans="1:10" x14ac:dyDescent="0.2">
      <c r="A49" s="170"/>
      <c r="B49" s="223"/>
      <c r="C49" s="170"/>
      <c r="D49" s="226"/>
      <c r="E49" s="170"/>
      <c r="F49" s="170"/>
      <c r="G49" s="170"/>
      <c r="H49" s="170"/>
      <c r="I49" s="218"/>
      <c r="J49" s="164" t="s">
        <v>185</v>
      </c>
    </row>
    <row r="50" spans="1:10" ht="30" x14ac:dyDescent="0.2">
      <c r="A50" s="164" t="s">
        <v>205</v>
      </c>
      <c r="B50" s="221" t="s">
        <v>207</v>
      </c>
      <c r="C50" s="164" t="s">
        <v>176</v>
      </c>
      <c r="D50" s="227" t="s">
        <v>208</v>
      </c>
      <c r="E50" s="171">
        <v>0.05</v>
      </c>
      <c r="F50" s="166" t="s">
        <v>178</v>
      </c>
      <c r="G50" s="166" t="s">
        <v>210</v>
      </c>
      <c r="H50" s="167" t="s">
        <v>342</v>
      </c>
      <c r="I50" s="218" t="s">
        <v>183</v>
      </c>
      <c r="J50" s="166" t="s">
        <v>189</v>
      </c>
    </row>
    <row r="51" spans="1:10" ht="30" x14ac:dyDescent="0.2">
      <c r="A51" s="168" t="s">
        <v>206</v>
      </c>
      <c r="B51" s="222"/>
      <c r="C51" s="164" t="s">
        <v>177</v>
      </c>
      <c r="D51" s="228"/>
      <c r="E51" s="168" t="s">
        <v>209</v>
      </c>
      <c r="F51" s="168" t="s">
        <v>179</v>
      </c>
      <c r="G51" s="168" t="s">
        <v>211</v>
      </c>
      <c r="H51" s="168" t="s">
        <v>181</v>
      </c>
      <c r="I51" s="218"/>
      <c r="J51" s="164" t="s">
        <v>184</v>
      </c>
    </row>
    <row r="52" spans="1:10" x14ac:dyDescent="0.2">
      <c r="A52" s="170"/>
      <c r="B52" s="223"/>
      <c r="C52" s="170"/>
      <c r="D52" s="229"/>
      <c r="E52" s="170"/>
      <c r="F52" s="170"/>
      <c r="G52" s="170"/>
      <c r="H52" s="170"/>
      <c r="I52" s="218"/>
      <c r="J52" s="164" t="s">
        <v>185</v>
      </c>
    </row>
    <row r="53" spans="1:10" ht="31.5" x14ac:dyDescent="0.2">
      <c r="A53" s="164" t="s">
        <v>213</v>
      </c>
      <c r="B53" s="221" t="s">
        <v>214</v>
      </c>
      <c r="C53" s="164" t="s">
        <v>176</v>
      </c>
      <c r="D53" s="227" t="s">
        <v>215</v>
      </c>
      <c r="E53" s="171">
        <v>5.2499999999999998E-2</v>
      </c>
      <c r="F53" s="166" t="s">
        <v>178</v>
      </c>
      <c r="G53" s="172">
        <v>42747</v>
      </c>
      <c r="H53" s="167" t="s">
        <v>343</v>
      </c>
      <c r="I53" s="218" t="s">
        <v>183</v>
      </c>
      <c r="J53" s="166" t="s">
        <v>203</v>
      </c>
    </row>
    <row r="54" spans="1:10" ht="30" x14ac:dyDescent="0.2">
      <c r="A54" s="168">
        <v>233331701</v>
      </c>
      <c r="B54" s="222"/>
      <c r="C54" s="164" t="s">
        <v>177</v>
      </c>
      <c r="D54" s="228"/>
      <c r="E54" s="168" t="s">
        <v>186</v>
      </c>
      <c r="F54" s="168" t="s">
        <v>179</v>
      </c>
      <c r="G54" s="169">
        <v>59183</v>
      </c>
      <c r="H54" s="168" t="s">
        <v>187</v>
      </c>
      <c r="I54" s="218"/>
      <c r="J54" s="164" t="s">
        <v>184</v>
      </c>
    </row>
    <row r="55" spans="1:10" x14ac:dyDescent="0.2">
      <c r="A55" s="170"/>
      <c r="B55" s="223"/>
      <c r="C55" s="170"/>
      <c r="D55" s="229"/>
      <c r="E55" s="170"/>
      <c r="F55" s="170"/>
      <c r="G55" s="170"/>
      <c r="H55" s="170"/>
      <c r="I55" s="218"/>
      <c r="J55" s="164" t="s">
        <v>185</v>
      </c>
    </row>
    <row r="56" spans="1:10" ht="31.5" x14ac:dyDescent="0.2">
      <c r="A56" s="164" t="s">
        <v>217</v>
      </c>
      <c r="B56" s="221" t="s">
        <v>218</v>
      </c>
      <c r="C56" s="164" t="s">
        <v>176</v>
      </c>
      <c r="D56" s="227" t="s">
        <v>219</v>
      </c>
      <c r="E56" s="171">
        <v>6.5000000000000002E-2</v>
      </c>
      <c r="F56" s="166" t="s">
        <v>178</v>
      </c>
      <c r="G56" s="172">
        <v>42381</v>
      </c>
      <c r="H56" s="167" t="s">
        <v>343</v>
      </c>
      <c r="I56" s="218" t="s">
        <v>183</v>
      </c>
      <c r="J56" s="166" t="s">
        <v>203</v>
      </c>
    </row>
    <row r="57" spans="1:10" x14ac:dyDescent="0.2">
      <c r="A57" s="168">
        <v>233331602</v>
      </c>
      <c r="B57" s="222"/>
      <c r="C57" s="164" t="s">
        <v>177</v>
      </c>
      <c r="D57" s="228"/>
      <c r="E57" s="168" t="s">
        <v>201</v>
      </c>
      <c r="F57" s="168" t="s">
        <v>179</v>
      </c>
      <c r="G57" s="169">
        <v>58818</v>
      </c>
      <c r="H57" s="168" t="s">
        <v>187</v>
      </c>
      <c r="I57" s="218"/>
      <c r="J57" s="164" t="s">
        <v>184</v>
      </c>
    </row>
    <row r="58" spans="1:10" x14ac:dyDescent="0.2">
      <c r="A58" s="170"/>
      <c r="B58" s="223"/>
      <c r="C58" s="170"/>
      <c r="D58" s="229"/>
      <c r="E58" s="170"/>
      <c r="F58" s="170"/>
      <c r="G58" s="170"/>
      <c r="H58" s="170"/>
      <c r="I58" s="218"/>
      <c r="J58" s="164" t="s">
        <v>185</v>
      </c>
    </row>
    <row r="59" spans="1:10" ht="31.5" x14ac:dyDescent="0.2">
      <c r="A59" s="164" t="s">
        <v>220</v>
      </c>
      <c r="B59" s="221" t="s">
        <v>222</v>
      </c>
      <c r="C59" s="164" t="s">
        <v>176</v>
      </c>
      <c r="D59" s="224">
        <v>41548</v>
      </c>
      <c r="E59" s="171">
        <v>5.1299999999999998E-2</v>
      </c>
      <c r="F59" s="166" t="s">
        <v>178</v>
      </c>
      <c r="G59" s="166" t="s">
        <v>224</v>
      </c>
      <c r="H59" s="167" t="s">
        <v>343</v>
      </c>
      <c r="I59" s="218" t="s">
        <v>183</v>
      </c>
      <c r="J59" s="166" t="s">
        <v>188</v>
      </c>
    </row>
    <row r="60" spans="1:10" ht="30" x14ac:dyDescent="0.2">
      <c r="A60" s="168" t="s">
        <v>221</v>
      </c>
      <c r="B60" s="222"/>
      <c r="C60" s="164" t="s">
        <v>177</v>
      </c>
      <c r="D60" s="225"/>
      <c r="E60" s="168" t="s">
        <v>223</v>
      </c>
      <c r="F60" s="168" t="s">
        <v>179</v>
      </c>
      <c r="G60" s="168" t="s">
        <v>225</v>
      </c>
      <c r="H60" s="168" t="s">
        <v>181</v>
      </c>
      <c r="I60" s="218"/>
      <c r="J60" s="164" t="s">
        <v>184</v>
      </c>
    </row>
    <row r="61" spans="1:10" x14ac:dyDescent="0.2">
      <c r="A61" s="170"/>
      <c r="B61" s="223"/>
      <c r="C61" s="170"/>
      <c r="D61" s="226"/>
      <c r="E61" s="170"/>
      <c r="F61" s="170"/>
      <c r="G61" s="170"/>
      <c r="H61" s="170"/>
      <c r="I61" s="218"/>
      <c r="J61" s="164" t="s">
        <v>185</v>
      </c>
    </row>
    <row r="62" spans="1:10" ht="31.5" x14ac:dyDescent="0.2">
      <c r="A62" s="164" t="s">
        <v>190</v>
      </c>
      <c r="B62" s="221" t="s">
        <v>191</v>
      </c>
      <c r="C62" s="164" t="s">
        <v>176</v>
      </c>
      <c r="D62" s="224">
        <v>41334</v>
      </c>
      <c r="E62" s="166" t="s">
        <v>192</v>
      </c>
      <c r="F62" s="166" t="s">
        <v>178</v>
      </c>
      <c r="G62" s="166" t="s">
        <v>194</v>
      </c>
      <c r="H62" s="167" t="s">
        <v>344</v>
      </c>
      <c r="I62" s="218" t="s">
        <v>183</v>
      </c>
      <c r="J62" s="166" t="s">
        <v>188</v>
      </c>
    </row>
    <row r="63" spans="1:10" x14ac:dyDescent="0.2">
      <c r="A63" s="168">
        <v>20002309</v>
      </c>
      <c r="B63" s="222"/>
      <c r="C63" s="164" t="s">
        <v>177</v>
      </c>
      <c r="D63" s="225"/>
      <c r="E63" s="168" t="s">
        <v>193</v>
      </c>
      <c r="F63" s="168" t="s">
        <v>179</v>
      </c>
      <c r="G63" s="168" t="s">
        <v>195</v>
      </c>
      <c r="H63" s="168" t="s">
        <v>181</v>
      </c>
      <c r="I63" s="218"/>
      <c r="J63" s="164" t="s">
        <v>184</v>
      </c>
    </row>
    <row r="64" spans="1:10" x14ac:dyDescent="0.2">
      <c r="A64" s="170"/>
      <c r="B64" s="223"/>
      <c r="C64" s="170"/>
      <c r="D64" s="226"/>
      <c r="E64" s="170"/>
      <c r="F64" s="170"/>
      <c r="G64" s="170"/>
      <c r="H64" s="170"/>
      <c r="I64" s="218"/>
      <c r="J64" s="164" t="s">
        <v>185</v>
      </c>
    </row>
  </sheetData>
  <mergeCells count="66">
    <mergeCell ref="B59:B61"/>
    <mergeCell ref="D59:D61"/>
    <mergeCell ref="I59:I61"/>
    <mergeCell ref="B62:B64"/>
    <mergeCell ref="D62:D64"/>
    <mergeCell ref="I62:I64"/>
    <mergeCell ref="B53:B55"/>
    <mergeCell ref="D53:D55"/>
    <mergeCell ref="I53:I55"/>
    <mergeCell ref="B56:B58"/>
    <mergeCell ref="D56:D58"/>
    <mergeCell ref="I56:I58"/>
    <mergeCell ref="B47:B49"/>
    <mergeCell ref="D47:D49"/>
    <mergeCell ref="I47:I49"/>
    <mergeCell ref="B50:B52"/>
    <mergeCell ref="D50:D52"/>
    <mergeCell ref="I50:I52"/>
    <mergeCell ref="B41:B43"/>
    <mergeCell ref="D41:D43"/>
    <mergeCell ref="I41:I43"/>
    <mergeCell ref="B44:B46"/>
    <mergeCell ref="D44:D46"/>
    <mergeCell ref="I44:I46"/>
    <mergeCell ref="B35:B37"/>
    <mergeCell ref="D35:D37"/>
    <mergeCell ref="I35:I37"/>
    <mergeCell ref="B38:B40"/>
    <mergeCell ref="D38:D40"/>
    <mergeCell ref="I38:I40"/>
    <mergeCell ref="B29:B31"/>
    <mergeCell ref="D29:D31"/>
    <mergeCell ref="I29:I31"/>
    <mergeCell ref="B32:B34"/>
    <mergeCell ref="D32:D34"/>
    <mergeCell ref="I32:I34"/>
    <mergeCell ref="B23:B25"/>
    <mergeCell ref="D23:D25"/>
    <mergeCell ref="I23:I25"/>
    <mergeCell ref="B26:B28"/>
    <mergeCell ref="D26:D28"/>
    <mergeCell ref="I26:I28"/>
    <mergeCell ref="B17:B19"/>
    <mergeCell ref="D17:D19"/>
    <mergeCell ref="I17:I19"/>
    <mergeCell ref="B20:B22"/>
    <mergeCell ref="D20:D22"/>
    <mergeCell ref="I20:I22"/>
    <mergeCell ref="B11:B13"/>
    <mergeCell ref="D11:D13"/>
    <mergeCell ref="I11:I13"/>
    <mergeCell ref="B14:B16"/>
    <mergeCell ref="D14:D16"/>
    <mergeCell ref="I14:I16"/>
    <mergeCell ref="B5:B7"/>
    <mergeCell ref="D5:D7"/>
    <mergeCell ref="I5:I7"/>
    <mergeCell ref="B8:B10"/>
    <mergeCell ref="D8:D10"/>
    <mergeCell ref="I8:I10"/>
    <mergeCell ref="A1:J1"/>
    <mergeCell ref="A2:J2"/>
    <mergeCell ref="B3:B4"/>
    <mergeCell ref="D3:D4"/>
    <mergeCell ref="I3:I4"/>
    <mergeCell ref="J3:J4"/>
  </mergeCells>
  <printOptions gridLines="1"/>
  <pageMargins left="0.7" right="0.7" top="0.75" bottom="0.75" header="0.3" footer="0.3"/>
  <pageSetup orientation="portrait" verticalDpi="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K172"/>
  <sheetViews>
    <sheetView zoomScale="70" zoomScaleNormal="70" workbookViewId="0">
      <selection activeCell="I11" sqref="I11:I13"/>
    </sheetView>
  </sheetViews>
  <sheetFormatPr defaultColWidth="8.7109375" defaultRowHeight="12.75" x14ac:dyDescent="0.2"/>
  <cols>
    <col min="1" max="1" width="11.5703125" style="125" bestFit="1" customWidth="1"/>
    <col min="2" max="2" width="28.28515625" style="84" customWidth="1"/>
    <col min="3" max="3" width="8.5703125" style="84" bestFit="1" customWidth="1"/>
    <col min="4" max="4" width="12.28515625" style="84" bestFit="1" customWidth="1"/>
    <col min="5" max="6" width="9.42578125" style="84" bestFit="1" customWidth="1"/>
    <col min="7" max="7" width="12.42578125" style="84" bestFit="1" customWidth="1"/>
    <col min="8" max="8" width="11.5703125" style="84" bestFit="1" customWidth="1"/>
    <col min="9" max="9" width="4.85546875" style="84" bestFit="1" customWidth="1"/>
    <col min="10" max="10" width="13.5703125" style="84" bestFit="1" customWidth="1"/>
    <col min="11" max="11" width="26.85546875" style="84" customWidth="1"/>
    <col min="12" max="16384" width="8.7109375" style="84"/>
  </cols>
  <sheetData>
    <row r="1" spans="1:11" ht="18" x14ac:dyDescent="0.25">
      <c r="A1" s="230" t="s">
        <v>158</v>
      </c>
      <c r="B1" s="230"/>
      <c r="C1" s="230"/>
      <c r="D1" s="230"/>
      <c r="E1" s="230"/>
      <c r="F1" s="230"/>
      <c r="G1" s="230"/>
      <c r="H1" s="230"/>
      <c r="I1" s="230"/>
      <c r="J1" s="230"/>
      <c r="K1" s="230"/>
    </row>
    <row r="2" spans="1:11" s="164" customFormat="1" ht="17.45" customHeight="1" x14ac:dyDescent="0.2">
      <c r="A2" s="215" t="s">
        <v>338</v>
      </c>
      <c r="B2" s="216"/>
      <c r="C2" s="216"/>
      <c r="D2" s="216"/>
      <c r="E2" s="216"/>
      <c r="F2" s="216"/>
      <c r="G2" s="216"/>
      <c r="H2" s="216"/>
      <c r="I2" s="216"/>
      <c r="J2" s="216"/>
      <c r="K2" s="217"/>
    </row>
    <row r="3" spans="1:11" s="164" customFormat="1" ht="24.95" customHeight="1" x14ac:dyDescent="0.2">
      <c r="A3" s="164" t="s">
        <v>159</v>
      </c>
      <c r="B3" s="218" t="s">
        <v>161</v>
      </c>
      <c r="C3" s="164" t="s">
        <v>162</v>
      </c>
      <c r="D3" s="218" t="s">
        <v>164</v>
      </c>
      <c r="E3" s="164" t="s">
        <v>165</v>
      </c>
      <c r="F3" s="164" t="s">
        <v>167</v>
      </c>
      <c r="G3" s="164" t="s">
        <v>169</v>
      </c>
      <c r="H3" s="164" t="s">
        <v>171</v>
      </c>
      <c r="I3" s="219" t="s">
        <v>173</v>
      </c>
      <c r="J3" s="219" t="s">
        <v>174</v>
      </c>
      <c r="K3" s="218" t="s">
        <v>175</v>
      </c>
    </row>
    <row r="4" spans="1:11" s="164" customFormat="1" ht="31.5" x14ac:dyDescent="0.2">
      <c r="A4" s="165" t="s">
        <v>160</v>
      </c>
      <c r="B4" s="218"/>
      <c r="C4" s="164" t="s">
        <v>163</v>
      </c>
      <c r="D4" s="218"/>
      <c r="E4" s="165" t="s">
        <v>166</v>
      </c>
      <c r="F4" s="164" t="s">
        <v>168</v>
      </c>
      <c r="G4" s="165" t="s">
        <v>170</v>
      </c>
      <c r="H4" s="164" t="s">
        <v>172</v>
      </c>
      <c r="I4" s="220"/>
      <c r="J4" s="220"/>
      <c r="K4" s="218"/>
    </row>
    <row r="5" spans="1:11" s="164" customFormat="1" ht="24.95" customHeight="1" x14ac:dyDescent="0.2">
      <c r="A5" s="164" t="s">
        <v>298</v>
      </c>
      <c r="B5" s="221" t="s">
        <v>299</v>
      </c>
      <c r="C5" s="164" t="s">
        <v>176</v>
      </c>
      <c r="D5" s="224">
        <v>35832</v>
      </c>
      <c r="E5" s="166" t="s">
        <v>295</v>
      </c>
      <c r="F5" s="166" t="s">
        <v>178</v>
      </c>
      <c r="G5" s="166" t="s">
        <v>296</v>
      </c>
      <c r="H5" s="167" t="s">
        <v>339</v>
      </c>
      <c r="I5" s="227" t="s">
        <v>182</v>
      </c>
      <c r="J5" s="218" t="s">
        <v>183</v>
      </c>
      <c r="K5" s="166" t="s">
        <v>203</v>
      </c>
    </row>
    <row r="6" spans="1:11" s="164" customFormat="1" ht="15" x14ac:dyDescent="0.2">
      <c r="A6" s="168">
        <v>880591300</v>
      </c>
      <c r="B6" s="222"/>
      <c r="C6" s="164" t="s">
        <v>177</v>
      </c>
      <c r="D6" s="225"/>
      <c r="E6" s="168" t="s">
        <v>291</v>
      </c>
      <c r="F6" s="168" t="s">
        <v>291</v>
      </c>
      <c r="G6" s="169">
        <v>46758</v>
      </c>
      <c r="H6" s="168" t="s">
        <v>181</v>
      </c>
      <c r="I6" s="228"/>
      <c r="J6" s="218"/>
      <c r="K6" s="164" t="s">
        <v>184</v>
      </c>
    </row>
    <row r="7" spans="1:11" s="164" customFormat="1" ht="15" x14ac:dyDescent="0.2">
      <c r="A7" s="170"/>
      <c r="B7" s="223"/>
      <c r="C7" s="170"/>
      <c r="D7" s="226"/>
      <c r="E7" s="170"/>
      <c r="F7" s="170"/>
      <c r="G7" s="170"/>
      <c r="H7" s="170"/>
      <c r="I7" s="229"/>
      <c r="J7" s="218"/>
      <c r="K7" s="164" t="s">
        <v>185</v>
      </c>
    </row>
    <row r="8" spans="1:11" s="164" customFormat="1" ht="26.1" customHeight="1" x14ac:dyDescent="0.2">
      <c r="A8" s="164" t="s">
        <v>292</v>
      </c>
      <c r="B8" s="221" t="s">
        <v>293</v>
      </c>
      <c r="C8" s="164" t="s">
        <v>176</v>
      </c>
      <c r="D8" s="227" t="s">
        <v>294</v>
      </c>
      <c r="E8" s="166" t="s">
        <v>295</v>
      </c>
      <c r="F8" s="166" t="s">
        <v>178</v>
      </c>
      <c r="G8" s="166" t="s">
        <v>296</v>
      </c>
      <c r="H8" s="167" t="s">
        <v>339</v>
      </c>
      <c r="I8" s="227" t="s">
        <v>182</v>
      </c>
      <c r="J8" s="218" t="s">
        <v>183</v>
      </c>
      <c r="K8" s="166" t="s">
        <v>202</v>
      </c>
    </row>
    <row r="9" spans="1:11" s="164" customFormat="1" ht="15" x14ac:dyDescent="0.2">
      <c r="A9" s="168">
        <v>880591409</v>
      </c>
      <c r="B9" s="222"/>
      <c r="C9" s="164" t="s">
        <v>177</v>
      </c>
      <c r="D9" s="228"/>
      <c r="E9" s="168" t="s">
        <v>291</v>
      </c>
      <c r="F9" s="168" t="s">
        <v>291</v>
      </c>
      <c r="G9" s="169">
        <v>47123</v>
      </c>
      <c r="H9" s="168" t="s">
        <v>181</v>
      </c>
      <c r="I9" s="228"/>
      <c r="J9" s="218"/>
      <c r="K9" s="164" t="s">
        <v>184</v>
      </c>
    </row>
    <row r="10" spans="1:11" s="164" customFormat="1" ht="15" x14ac:dyDescent="0.2">
      <c r="A10" s="170"/>
      <c r="B10" s="223"/>
      <c r="C10" s="170"/>
      <c r="D10" s="229"/>
      <c r="E10" s="170"/>
      <c r="F10" s="170"/>
      <c r="G10" s="170"/>
      <c r="H10" s="170"/>
      <c r="I10" s="229"/>
      <c r="J10" s="218"/>
      <c r="K10" s="164" t="s">
        <v>185</v>
      </c>
    </row>
    <row r="11" spans="1:11" s="164" customFormat="1" ht="26.1" customHeight="1" x14ac:dyDescent="0.2">
      <c r="A11" s="164" t="s">
        <v>284</v>
      </c>
      <c r="B11" s="221" t="s">
        <v>285</v>
      </c>
      <c r="C11" s="164" t="s">
        <v>176</v>
      </c>
      <c r="D11" s="224">
        <v>40949</v>
      </c>
      <c r="E11" s="171">
        <v>4.8800000000000003E-2</v>
      </c>
      <c r="F11" s="166" t="s">
        <v>178</v>
      </c>
      <c r="G11" s="166" t="s">
        <v>198</v>
      </c>
      <c r="H11" s="167" t="s">
        <v>340</v>
      </c>
      <c r="I11" s="227" t="s">
        <v>182</v>
      </c>
      <c r="J11" s="218" t="s">
        <v>183</v>
      </c>
      <c r="K11" s="166" t="s">
        <v>188</v>
      </c>
    </row>
    <row r="12" spans="1:11" s="164" customFormat="1" ht="30" x14ac:dyDescent="0.2">
      <c r="A12" s="168">
        <v>369622428</v>
      </c>
      <c r="B12" s="222"/>
      <c r="C12" s="164" t="s">
        <v>177</v>
      </c>
      <c r="D12" s="225"/>
      <c r="E12" s="168" t="s">
        <v>280</v>
      </c>
      <c r="F12" s="168" t="s">
        <v>179</v>
      </c>
      <c r="G12" s="168" t="s">
        <v>286</v>
      </c>
      <c r="H12" s="168" t="s">
        <v>187</v>
      </c>
      <c r="I12" s="228"/>
      <c r="J12" s="218"/>
      <c r="K12" s="164" t="s">
        <v>184</v>
      </c>
    </row>
    <row r="13" spans="1:11" s="164" customFormat="1" ht="15" x14ac:dyDescent="0.2">
      <c r="A13" s="170"/>
      <c r="B13" s="223"/>
      <c r="C13" s="170"/>
      <c r="D13" s="226"/>
      <c r="E13" s="170"/>
      <c r="F13" s="170"/>
      <c r="G13" s="170"/>
      <c r="H13" s="170"/>
      <c r="I13" s="229"/>
      <c r="J13" s="218"/>
      <c r="K13" s="164" t="s">
        <v>185</v>
      </c>
    </row>
    <row r="14" spans="1:11" s="164" customFormat="1" ht="26.1" customHeight="1" x14ac:dyDescent="0.2">
      <c r="A14" s="164" t="s">
        <v>277</v>
      </c>
      <c r="B14" s="221" t="s">
        <v>278</v>
      </c>
      <c r="C14" s="164" t="s">
        <v>176</v>
      </c>
      <c r="D14" s="227" t="s">
        <v>279</v>
      </c>
      <c r="E14" s="171">
        <v>4.8800000000000003E-2</v>
      </c>
      <c r="F14" s="166" t="s">
        <v>178</v>
      </c>
      <c r="G14" s="166" t="s">
        <v>281</v>
      </c>
      <c r="H14" s="167" t="s">
        <v>340</v>
      </c>
      <c r="I14" s="227" t="s">
        <v>182</v>
      </c>
      <c r="J14" s="218" t="s">
        <v>183</v>
      </c>
      <c r="K14" s="166" t="s">
        <v>283</v>
      </c>
    </row>
    <row r="15" spans="1:11" s="164" customFormat="1" ht="30" x14ac:dyDescent="0.2">
      <c r="A15" s="168">
        <v>369622410</v>
      </c>
      <c r="B15" s="222"/>
      <c r="C15" s="164" t="s">
        <v>177</v>
      </c>
      <c r="D15" s="228"/>
      <c r="E15" s="168" t="s">
        <v>280</v>
      </c>
      <c r="F15" s="168" t="s">
        <v>179</v>
      </c>
      <c r="G15" s="168" t="s">
        <v>282</v>
      </c>
      <c r="H15" s="168" t="s">
        <v>187</v>
      </c>
      <c r="I15" s="228"/>
      <c r="J15" s="218"/>
      <c r="K15" s="164" t="s">
        <v>184</v>
      </c>
    </row>
    <row r="16" spans="1:11" s="164" customFormat="1" ht="15" x14ac:dyDescent="0.2">
      <c r="A16" s="170"/>
      <c r="B16" s="223"/>
      <c r="C16" s="170"/>
      <c r="D16" s="229"/>
      <c r="E16" s="170"/>
      <c r="F16" s="170"/>
      <c r="G16" s="170"/>
      <c r="H16" s="170"/>
      <c r="I16" s="229"/>
      <c r="J16" s="218"/>
      <c r="K16" s="164" t="s">
        <v>185</v>
      </c>
    </row>
    <row r="17" spans="1:11" s="164" customFormat="1" ht="24.95" customHeight="1" x14ac:dyDescent="0.2">
      <c r="A17" s="164" t="s">
        <v>271</v>
      </c>
      <c r="B17" s="221" t="s">
        <v>272</v>
      </c>
      <c r="C17" s="164" t="s">
        <v>176</v>
      </c>
      <c r="D17" s="224">
        <v>41522</v>
      </c>
      <c r="E17" s="171">
        <v>4.7E-2</v>
      </c>
      <c r="F17" s="166" t="s">
        <v>178</v>
      </c>
      <c r="G17" s="166" t="s">
        <v>273</v>
      </c>
      <c r="H17" s="167" t="s">
        <v>340</v>
      </c>
      <c r="I17" s="227" t="s">
        <v>182</v>
      </c>
      <c r="J17" s="218" t="s">
        <v>183</v>
      </c>
      <c r="K17" s="166" t="s">
        <v>276</v>
      </c>
    </row>
    <row r="18" spans="1:11" s="164" customFormat="1" ht="15" x14ac:dyDescent="0.2">
      <c r="A18" s="168">
        <v>369622394</v>
      </c>
      <c r="B18" s="222"/>
      <c r="C18" s="164" t="s">
        <v>177</v>
      </c>
      <c r="D18" s="225"/>
      <c r="E18" s="168" t="s">
        <v>256</v>
      </c>
      <c r="F18" s="168" t="s">
        <v>179</v>
      </c>
      <c r="G18" s="168" t="s">
        <v>274</v>
      </c>
      <c r="H18" s="168" t="s">
        <v>187</v>
      </c>
      <c r="I18" s="228"/>
      <c r="J18" s="218"/>
      <c r="K18" s="164" t="s">
        <v>184</v>
      </c>
    </row>
    <row r="19" spans="1:11" s="164" customFormat="1" ht="15" x14ac:dyDescent="0.2">
      <c r="A19" s="170"/>
      <c r="B19" s="223"/>
      <c r="C19" s="170"/>
      <c r="D19" s="226"/>
      <c r="E19" s="170"/>
      <c r="F19" s="170"/>
      <c r="G19" s="170"/>
      <c r="H19" s="170"/>
      <c r="I19" s="229"/>
      <c r="J19" s="218"/>
      <c r="K19" s="164" t="s">
        <v>185</v>
      </c>
    </row>
    <row r="20" spans="1:11" s="164" customFormat="1" ht="30" x14ac:dyDescent="0.2">
      <c r="A20" s="164" t="s">
        <v>239</v>
      </c>
      <c r="B20" s="221" t="s">
        <v>241</v>
      </c>
      <c r="C20" s="164" t="s">
        <v>176</v>
      </c>
      <c r="D20" s="227" t="s">
        <v>242</v>
      </c>
      <c r="E20" s="171">
        <v>5.8799999999999998E-2</v>
      </c>
      <c r="F20" s="166" t="s">
        <v>178</v>
      </c>
      <c r="G20" s="166" t="s">
        <v>243</v>
      </c>
      <c r="H20" s="167" t="s">
        <v>341</v>
      </c>
      <c r="I20" s="227" t="s">
        <v>182</v>
      </c>
      <c r="J20" s="218" t="s">
        <v>183</v>
      </c>
      <c r="K20" s="166" t="s">
        <v>189</v>
      </c>
    </row>
    <row r="21" spans="1:11" s="164" customFormat="1" ht="24.95" customHeight="1" x14ac:dyDescent="0.2">
      <c r="A21" s="168" t="s">
        <v>240</v>
      </c>
      <c r="B21" s="222"/>
      <c r="C21" s="164" t="s">
        <v>177</v>
      </c>
      <c r="D21" s="228"/>
      <c r="E21" s="168" t="s">
        <v>196</v>
      </c>
      <c r="F21" s="168" t="s">
        <v>179</v>
      </c>
      <c r="G21" s="168" t="s">
        <v>244</v>
      </c>
      <c r="H21" s="168" t="s">
        <v>181</v>
      </c>
      <c r="I21" s="228"/>
      <c r="J21" s="218"/>
      <c r="K21" s="164" t="s">
        <v>184</v>
      </c>
    </row>
    <row r="22" spans="1:11" s="164" customFormat="1" ht="15" x14ac:dyDescent="0.2">
      <c r="A22" s="170"/>
      <c r="B22" s="223"/>
      <c r="C22" s="170"/>
      <c r="D22" s="229"/>
      <c r="E22" s="170"/>
      <c r="F22" s="170"/>
      <c r="G22" s="170"/>
      <c r="H22" s="170"/>
      <c r="I22" s="229"/>
      <c r="J22" s="218"/>
      <c r="K22" s="164" t="s">
        <v>185</v>
      </c>
    </row>
    <row r="23" spans="1:11" s="164" customFormat="1" ht="15.75" x14ac:dyDescent="0.2">
      <c r="A23" s="164" t="s">
        <v>245</v>
      </c>
      <c r="B23" s="221" t="s">
        <v>247</v>
      </c>
      <c r="C23" s="164" t="s">
        <v>176</v>
      </c>
      <c r="D23" s="227" t="s">
        <v>248</v>
      </c>
      <c r="E23" s="171">
        <v>0.06</v>
      </c>
      <c r="F23" s="166" t="s">
        <v>178</v>
      </c>
      <c r="G23" s="166" t="s">
        <v>250</v>
      </c>
      <c r="H23" s="167" t="s">
        <v>341</v>
      </c>
      <c r="I23" s="227" t="s">
        <v>182</v>
      </c>
      <c r="J23" s="218" t="s">
        <v>183</v>
      </c>
      <c r="K23" s="166" t="s">
        <v>189</v>
      </c>
    </row>
    <row r="24" spans="1:11" s="164" customFormat="1" ht="30" x14ac:dyDescent="0.2">
      <c r="A24" s="168" t="s">
        <v>246</v>
      </c>
      <c r="B24" s="222"/>
      <c r="C24" s="164" t="s">
        <v>177</v>
      </c>
      <c r="D24" s="228"/>
      <c r="E24" s="168" t="s">
        <v>249</v>
      </c>
      <c r="F24" s="168" t="s">
        <v>179</v>
      </c>
      <c r="G24" s="168" t="s">
        <v>251</v>
      </c>
      <c r="H24" s="168" t="s">
        <v>181</v>
      </c>
      <c r="I24" s="228"/>
      <c r="J24" s="218"/>
      <c r="K24" s="164" t="s">
        <v>184</v>
      </c>
    </row>
    <row r="25" spans="1:11" s="164" customFormat="1" ht="26.1" customHeight="1" x14ac:dyDescent="0.2">
      <c r="A25" s="170"/>
      <c r="B25" s="223"/>
      <c r="C25" s="170"/>
      <c r="D25" s="229"/>
      <c r="E25" s="170"/>
      <c r="F25" s="170"/>
      <c r="G25" s="170"/>
      <c r="H25" s="170"/>
      <c r="I25" s="229"/>
      <c r="J25" s="218"/>
      <c r="K25" s="164" t="s">
        <v>185</v>
      </c>
    </row>
    <row r="26" spans="1:11" s="164" customFormat="1" ht="15.75" x14ac:dyDescent="0.2">
      <c r="A26" s="164" t="s">
        <v>234</v>
      </c>
      <c r="B26" s="221" t="s">
        <v>236</v>
      </c>
      <c r="C26" s="164" t="s">
        <v>176</v>
      </c>
      <c r="D26" s="227" t="s">
        <v>237</v>
      </c>
      <c r="E26" s="171">
        <v>5.2499999999999998E-2</v>
      </c>
      <c r="F26" s="166" t="s">
        <v>178</v>
      </c>
      <c r="G26" s="172">
        <v>42742</v>
      </c>
      <c r="H26" s="167" t="s">
        <v>341</v>
      </c>
      <c r="I26" s="227" t="s">
        <v>182</v>
      </c>
      <c r="J26" s="218" t="s">
        <v>183</v>
      </c>
      <c r="K26" s="166" t="s">
        <v>199</v>
      </c>
    </row>
    <row r="27" spans="1:11" s="164" customFormat="1" ht="30" x14ac:dyDescent="0.2">
      <c r="A27" s="168" t="s">
        <v>235</v>
      </c>
      <c r="B27" s="222"/>
      <c r="C27" s="164" t="s">
        <v>177</v>
      </c>
      <c r="D27" s="228"/>
      <c r="E27" s="168" t="s">
        <v>186</v>
      </c>
      <c r="F27" s="168" t="s">
        <v>179</v>
      </c>
      <c r="G27" s="169">
        <v>55525</v>
      </c>
      <c r="H27" s="168" t="s">
        <v>181</v>
      </c>
      <c r="I27" s="228"/>
      <c r="J27" s="218"/>
      <c r="K27" s="164" t="s">
        <v>184</v>
      </c>
    </row>
    <row r="28" spans="1:11" s="164" customFormat="1" ht="26.1" customHeight="1" x14ac:dyDescent="0.2">
      <c r="A28" s="170"/>
      <c r="B28" s="223"/>
      <c r="C28" s="170"/>
      <c r="D28" s="229"/>
      <c r="E28" s="170"/>
      <c r="F28" s="170"/>
      <c r="G28" s="170"/>
      <c r="H28" s="170"/>
      <c r="I28" s="229"/>
      <c r="J28" s="218"/>
      <c r="K28" s="164" t="s">
        <v>185</v>
      </c>
    </row>
    <row r="29" spans="1:11" s="164" customFormat="1" ht="15.75" x14ac:dyDescent="0.2">
      <c r="A29" s="164" t="s">
        <v>287</v>
      </c>
      <c r="B29" s="221" t="s">
        <v>288</v>
      </c>
      <c r="C29" s="164" t="s">
        <v>176</v>
      </c>
      <c r="D29" s="224">
        <v>40216</v>
      </c>
      <c r="E29" s="171">
        <v>7.7499999999999999E-2</v>
      </c>
      <c r="F29" s="166" t="s">
        <v>178</v>
      </c>
      <c r="G29" s="166" t="s">
        <v>289</v>
      </c>
      <c r="H29" s="167" t="s">
        <v>341</v>
      </c>
      <c r="I29" s="227" t="s">
        <v>182</v>
      </c>
      <c r="J29" s="218" t="s">
        <v>183</v>
      </c>
      <c r="K29" s="166" t="s">
        <v>188</v>
      </c>
    </row>
    <row r="30" spans="1:11" s="164" customFormat="1" ht="30" x14ac:dyDescent="0.2">
      <c r="A30" s="168">
        <v>539439802</v>
      </c>
      <c r="B30" s="222"/>
      <c r="C30" s="164" t="s">
        <v>177</v>
      </c>
      <c r="D30" s="225"/>
      <c r="E30" s="168" t="s">
        <v>200</v>
      </c>
      <c r="F30" s="168" t="s">
        <v>179</v>
      </c>
      <c r="G30" s="168" t="s">
        <v>290</v>
      </c>
      <c r="H30" s="168" t="s">
        <v>187</v>
      </c>
      <c r="I30" s="228"/>
      <c r="J30" s="218"/>
      <c r="K30" s="164" t="s">
        <v>184</v>
      </c>
    </row>
    <row r="31" spans="1:11" s="164" customFormat="1" ht="26.1" customHeight="1" x14ac:dyDescent="0.2">
      <c r="A31" s="170"/>
      <c r="B31" s="223"/>
      <c r="C31" s="170"/>
      <c r="D31" s="226"/>
      <c r="E31" s="170"/>
      <c r="F31" s="170"/>
      <c r="G31" s="170"/>
      <c r="H31" s="170"/>
      <c r="I31" s="229"/>
      <c r="J31" s="218"/>
      <c r="K31" s="164" t="s">
        <v>185</v>
      </c>
    </row>
    <row r="32" spans="1:11" s="164" customFormat="1" ht="15.75" x14ac:dyDescent="0.2">
      <c r="A32" s="164" t="s">
        <v>252</v>
      </c>
      <c r="B32" s="221" t="s">
        <v>254</v>
      </c>
      <c r="C32" s="164" t="s">
        <v>176</v>
      </c>
      <c r="D32" s="227" t="s">
        <v>255</v>
      </c>
      <c r="E32" s="171">
        <v>4.7E-2</v>
      </c>
      <c r="F32" s="166" t="s">
        <v>178</v>
      </c>
      <c r="G32" s="172">
        <v>43106</v>
      </c>
      <c r="H32" s="167" t="s">
        <v>342</v>
      </c>
      <c r="I32" s="227" t="s">
        <v>182</v>
      </c>
      <c r="J32" s="218" t="s">
        <v>183</v>
      </c>
      <c r="K32" s="166" t="s">
        <v>203</v>
      </c>
    </row>
    <row r="33" spans="1:11" s="164" customFormat="1" ht="30" x14ac:dyDescent="0.2">
      <c r="A33" s="168" t="s">
        <v>253</v>
      </c>
      <c r="B33" s="222"/>
      <c r="C33" s="164" t="s">
        <v>177</v>
      </c>
      <c r="D33" s="228"/>
      <c r="E33" s="168" t="s">
        <v>256</v>
      </c>
      <c r="F33" s="168" t="s">
        <v>179</v>
      </c>
      <c r="G33" s="169">
        <v>59542</v>
      </c>
      <c r="H33" s="168" t="s">
        <v>187</v>
      </c>
      <c r="I33" s="228"/>
      <c r="J33" s="218"/>
      <c r="K33" s="164" t="s">
        <v>184</v>
      </c>
    </row>
    <row r="34" spans="1:11" s="164" customFormat="1" ht="26.1" customHeight="1" x14ac:dyDescent="0.2">
      <c r="A34" s="170"/>
      <c r="B34" s="223"/>
      <c r="C34" s="170"/>
      <c r="D34" s="229"/>
      <c r="E34" s="170"/>
      <c r="F34" s="170"/>
      <c r="G34" s="170"/>
      <c r="H34" s="170"/>
      <c r="I34" s="229"/>
      <c r="J34" s="218"/>
      <c r="K34" s="164" t="s">
        <v>185</v>
      </c>
    </row>
    <row r="35" spans="1:11" s="164" customFormat="1" ht="15.75" x14ac:dyDescent="0.2">
      <c r="A35" s="164" t="s">
        <v>257</v>
      </c>
      <c r="B35" s="221" t="s">
        <v>259</v>
      </c>
      <c r="C35" s="164" t="s">
        <v>176</v>
      </c>
      <c r="D35" s="227" t="s">
        <v>260</v>
      </c>
      <c r="E35" s="171">
        <v>0.06</v>
      </c>
      <c r="F35" s="166" t="s">
        <v>178</v>
      </c>
      <c r="G35" s="172">
        <v>39093</v>
      </c>
      <c r="H35" s="167" t="s">
        <v>342</v>
      </c>
      <c r="I35" s="227" t="s">
        <v>182</v>
      </c>
      <c r="J35" s="218" t="s">
        <v>183</v>
      </c>
      <c r="K35" s="166" t="s">
        <v>202</v>
      </c>
    </row>
    <row r="36" spans="1:11" s="164" customFormat="1" ht="30" x14ac:dyDescent="0.2">
      <c r="A36" s="168" t="s">
        <v>258</v>
      </c>
      <c r="B36" s="222"/>
      <c r="C36" s="164" t="s">
        <v>177</v>
      </c>
      <c r="D36" s="228"/>
      <c r="E36" s="168" t="s">
        <v>261</v>
      </c>
      <c r="F36" s="168" t="s">
        <v>179</v>
      </c>
      <c r="G36" s="169">
        <v>48224</v>
      </c>
      <c r="H36" s="168" t="s">
        <v>187</v>
      </c>
      <c r="I36" s="228"/>
      <c r="J36" s="218"/>
      <c r="K36" s="164" t="s">
        <v>184</v>
      </c>
    </row>
    <row r="37" spans="1:11" s="164" customFormat="1" ht="15" x14ac:dyDescent="0.2">
      <c r="A37" s="170"/>
      <c r="B37" s="223"/>
      <c r="C37" s="170"/>
      <c r="D37" s="229"/>
      <c r="E37" s="170"/>
      <c r="F37" s="170"/>
      <c r="G37" s="170"/>
      <c r="H37" s="170"/>
      <c r="I37" s="229"/>
      <c r="J37" s="218"/>
      <c r="K37" s="164" t="s">
        <v>185</v>
      </c>
    </row>
    <row r="38" spans="1:11" s="164" customFormat="1" ht="24.95" customHeight="1" x14ac:dyDescent="0.2">
      <c r="A38" s="164" t="s">
        <v>262</v>
      </c>
      <c r="B38" s="221" t="s">
        <v>264</v>
      </c>
      <c r="C38" s="164" t="s">
        <v>176</v>
      </c>
      <c r="D38" s="227" t="s">
        <v>265</v>
      </c>
      <c r="E38" s="171">
        <v>0.06</v>
      </c>
      <c r="F38" s="166" t="s">
        <v>178</v>
      </c>
      <c r="G38" s="172">
        <v>42374</v>
      </c>
      <c r="H38" s="167" t="s">
        <v>342</v>
      </c>
      <c r="I38" s="227" t="s">
        <v>182</v>
      </c>
      <c r="J38" s="218" t="s">
        <v>183</v>
      </c>
      <c r="K38" s="166" t="s">
        <v>202</v>
      </c>
    </row>
    <row r="39" spans="1:11" s="164" customFormat="1" ht="30" x14ac:dyDescent="0.2">
      <c r="A39" s="168" t="s">
        <v>263</v>
      </c>
      <c r="B39" s="222"/>
      <c r="C39" s="164" t="s">
        <v>177</v>
      </c>
      <c r="D39" s="228"/>
      <c r="E39" s="168" t="s">
        <v>249</v>
      </c>
      <c r="F39" s="168" t="s">
        <v>179</v>
      </c>
      <c r="G39" s="169">
        <v>55158</v>
      </c>
      <c r="H39" s="168" t="s">
        <v>187</v>
      </c>
      <c r="I39" s="228"/>
      <c r="J39" s="218"/>
      <c r="K39" s="164" t="s">
        <v>184</v>
      </c>
    </row>
    <row r="40" spans="1:11" s="164" customFormat="1" ht="15" x14ac:dyDescent="0.2">
      <c r="A40" s="170"/>
      <c r="B40" s="223"/>
      <c r="C40" s="170"/>
      <c r="D40" s="229"/>
      <c r="E40" s="170"/>
      <c r="F40" s="170"/>
      <c r="G40" s="170"/>
      <c r="H40" s="170"/>
      <c r="I40" s="229"/>
      <c r="J40" s="218"/>
      <c r="K40" s="164" t="s">
        <v>185</v>
      </c>
    </row>
    <row r="41" spans="1:11" s="164" customFormat="1" ht="24.95" customHeight="1" x14ac:dyDescent="0.2">
      <c r="A41" s="164" t="s">
        <v>226</v>
      </c>
      <c r="B41" s="221" t="s">
        <v>228</v>
      </c>
      <c r="C41" s="164" t="s">
        <v>176</v>
      </c>
      <c r="D41" s="224">
        <v>40339</v>
      </c>
      <c r="E41" s="171">
        <v>5.7500000000000002E-2</v>
      </c>
      <c r="F41" s="166" t="s">
        <v>178</v>
      </c>
      <c r="G41" s="172">
        <v>42015</v>
      </c>
      <c r="H41" s="167" t="s">
        <v>342</v>
      </c>
      <c r="I41" s="227" t="s">
        <v>182</v>
      </c>
      <c r="J41" s="218" t="s">
        <v>183</v>
      </c>
      <c r="K41" s="166" t="s">
        <v>202</v>
      </c>
    </row>
    <row r="42" spans="1:11" s="164" customFormat="1" ht="30" x14ac:dyDescent="0.2">
      <c r="A42" s="168" t="s">
        <v>227</v>
      </c>
      <c r="B42" s="222"/>
      <c r="C42" s="164" t="s">
        <v>177</v>
      </c>
      <c r="D42" s="225"/>
      <c r="E42" s="168" t="s">
        <v>197</v>
      </c>
      <c r="F42" s="168" t="s">
        <v>179</v>
      </c>
      <c r="G42" s="169">
        <v>51146</v>
      </c>
      <c r="H42" s="168" t="s">
        <v>187</v>
      </c>
      <c r="I42" s="228"/>
      <c r="J42" s="218"/>
      <c r="K42" s="164" t="s">
        <v>184</v>
      </c>
    </row>
    <row r="43" spans="1:11" s="164" customFormat="1" ht="15" x14ac:dyDescent="0.2">
      <c r="A43" s="170"/>
      <c r="B43" s="223"/>
      <c r="C43" s="170"/>
      <c r="D43" s="226"/>
      <c r="E43" s="170"/>
      <c r="F43" s="170"/>
      <c r="G43" s="170"/>
      <c r="H43" s="170"/>
      <c r="I43" s="229"/>
      <c r="J43" s="218"/>
      <c r="K43" s="164" t="s">
        <v>185</v>
      </c>
    </row>
    <row r="44" spans="1:11" s="164" customFormat="1" ht="24.95" customHeight="1" x14ac:dyDescent="0.2">
      <c r="A44" s="164" t="s">
        <v>229</v>
      </c>
      <c r="B44" s="221" t="s">
        <v>231</v>
      </c>
      <c r="C44" s="164" t="s">
        <v>176</v>
      </c>
      <c r="D44" s="227" t="s">
        <v>232</v>
      </c>
      <c r="E44" s="171">
        <v>4.7500000000000001E-2</v>
      </c>
      <c r="F44" s="166" t="s">
        <v>178</v>
      </c>
      <c r="G44" s="172">
        <v>43106</v>
      </c>
      <c r="H44" s="167" t="s">
        <v>342</v>
      </c>
      <c r="I44" s="227" t="s">
        <v>182</v>
      </c>
      <c r="J44" s="218" t="s">
        <v>183</v>
      </c>
      <c r="K44" s="166" t="s">
        <v>203</v>
      </c>
    </row>
    <row r="45" spans="1:11" s="164" customFormat="1" ht="30" x14ac:dyDescent="0.2">
      <c r="A45" s="168" t="s">
        <v>230</v>
      </c>
      <c r="B45" s="222"/>
      <c r="C45" s="164" t="s">
        <v>177</v>
      </c>
      <c r="D45" s="228"/>
      <c r="E45" s="168" t="s">
        <v>233</v>
      </c>
      <c r="F45" s="168" t="s">
        <v>179</v>
      </c>
      <c r="G45" s="169">
        <v>59542</v>
      </c>
      <c r="H45" s="168" t="s">
        <v>187</v>
      </c>
      <c r="I45" s="228"/>
      <c r="J45" s="218"/>
      <c r="K45" s="164" t="s">
        <v>184</v>
      </c>
    </row>
    <row r="46" spans="1:11" s="164" customFormat="1" ht="15" x14ac:dyDescent="0.2">
      <c r="A46" s="170"/>
      <c r="B46" s="223"/>
      <c r="C46" s="170"/>
      <c r="D46" s="229"/>
      <c r="E46" s="170"/>
      <c r="F46" s="170"/>
      <c r="G46" s="170"/>
      <c r="H46" s="170"/>
      <c r="I46" s="229"/>
      <c r="J46" s="218"/>
      <c r="K46" s="164" t="s">
        <v>185</v>
      </c>
    </row>
    <row r="47" spans="1:11" s="164" customFormat="1" ht="26.1" customHeight="1" x14ac:dyDescent="0.2">
      <c r="A47" s="164" t="s">
        <v>266</v>
      </c>
      <c r="B47" s="221" t="s">
        <v>268</v>
      </c>
      <c r="C47" s="164" t="s">
        <v>176</v>
      </c>
      <c r="D47" s="224">
        <v>40394</v>
      </c>
      <c r="E47" s="171">
        <v>6.2E-2</v>
      </c>
      <c r="F47" s="166" t="s">
        <v>178</v>
      </c>
      <c r="G47" s="166" t="s">
        <v>204</v>
      </c>
      <c r="H47" s="167" t="s">
        <v>342</v>
      </c>
      <c r="I47" s="227" t="s">
        <v>182</v>
      </c>
      <c r="J47" s="218" t="s">
        <v>183</v>
      </c>
      <c r="K47" s="166" t="s">
        <v>188</v>
      </c>
    </row>
    <row r="48" spans="1:11" s="164" customFormat="1" ht="30" x14ac:dyDescent="0.2">
      <c r="A48" s="168" t="s">
        <v>267</v>
      </c>
      <c r="B48" s="222"/>
      <c r="C48" s="164" t="s">
        <v>177</v>
      </c>
      <c r="D48" s="225"/>
      <c r="E48" s="168" t="s">
        <v>269</v>
      </c>
      <c r="F48" s="168" t="s">
        <v>179</v>
      </c>
      <c r="G48" s="168" t="s">
        <v>270</v>
      </c>
      <c r="H48" s="168" t="s">
        <v>187</v>
      </c>
      <c r="I48" s="228"/>
      <c r="J48" s="218"/>
      <c r="K48" s="164" t="s">
        <v>184</v>
      </c>
    </row>
    <row r="49" spans="1:11" s="164" customFormat="1" ht="15" x14ac:dyDescent="0.2">
      <c r="A49" s="170"/>
      <c r="B49" s="223"/>
      <c r="C49" s="170"/>
      <c r="D49" s="226"/>
      <c r="E49" s="170"/>
      <c r="F49" s="170"/>
      <c r="G49" s="170"/>
      <c r="H49" s="170"/>
      <c r="I49" s="229"/>
      <c r="J49" s="218"/>
      <c r="K49" s="164" t="s">
        <v>185</v>
      </c>
    </row>
    <row r="50" spans="1:11" s="164" customFormat="1" ht="26.1" customHeight="1" x14ac:dyDescent="0.2">
      <c r="A50" s="164" t="s">
        <v>205</v>
      </c>
      <c r="B50" s="221" t="s">
        <v>207</v>
      </c>
      <c r="C50" s="164" t="s">
        <v>176</v>
      </c>
      <c r="D50" s="227" t="s">
        <v>208</v>
      </c>
      <c r="E50" s="171">
        <v>0.05</v>
      </c>
      <c r="F50" s="166" t="s">
        <v>178</v>
      </c>
      <c r="G50" s="166" t="s">
        <v>210</v>
      </c>
      <c r="H50" s="167" t="s">
        <v>342</v>
      </c>
      <c r="I50" s="227" t="s">
        <v>182</v>
      </c>
      <c r="J50" s="218" t="s">
        <v>183</v>
      </c>
      <c r="K50" s="166" t="s">
        <v>189</v>
      </c>
    </row>
    <row r="51" spans="1:11" s="164" customFormat="1" ht="30" x14ac:dyDescent="0.2">
      <c r="A51" s="168" t="s">
        <v>206</v>
      </c>
      <c r="B51" s="222"/>
      <c r="C51" s="164" t="s">
        <v>177</v>
      </c>
      <c r="D51" s="228"/>
      <c r="E51" s="168" t="s">
        <v>209</v>
      </c>
      <c r="F51" s="168" t="s">
        <v>179</v>
      </c>
      <c r="G51" s="168" t="s">
        <v>211</v>
      </c>
      <c r="H51" s="168" t="s">
        <v>181</v>
      </c>
      <c r="I51" s="228"/>
      <c r="J51" s="218"/>
      <c r="K51" s="164" t="s">
        <v>184</v>
      </c>
    </row>
    <row r="52" spans="1:11" s="164" customFormat="1" ht="15" x14ac:dyDescent="0.2">
      <c r="A52" s="170"/>
      <c r="B52" s="223"/>
      <c r="C52" s="170"/>
      <c r="D52" s="229"/>
      <c r="E52" s="170"/>
      <c r="F52" s="170"/>
      <c r="G52" s="170"/>
      <c r="H52" s="170"/>
      <c r="I52" s="229"/>
      <c r="J52" s="218"/>
      <c r="K52" s="164" t="s">
        <v>185</v>
      </c>
    </row>
    <row r="53" spans="1:11" s="164" customFormat="1" ht="26.1" customHeight="1" x14ac:dyDescent="0.2">
      <c r="A53" s="164" t="s">
        <v>213</v>
      </c>
      <c r="B53" s="221" t="s">
        <v>214</v>
      </c>
      <c r="C53" s="164" t="s">
        <v>176</v>
      </c>
      <c r="D53" s="227" t="s">
        <v>215</v>
      </c>
      <c r="E53" s="171">
        <v>5.2499999999999998E-2</v>
      </c>
      <c r="F53" s="166" t="s">
        <v>178</v>
      </c>
      <c r="G53" s="172">
        <v>42747</v>
      </c>
      <c r="H53" s="167" t="s">
        <v>343</v>
      </c>
      <c r="I53" s="227" t="s">
        <v>182</v>
      </c>
      <c r="J53" s="218" t="s">
        <v>183</v>
      </c>
      <c r="K53" s="166" t="s">
        <v>203</v>
      </c>
    </row>
    <row r="54" spans="1:11" s="164" customFormat="1" ht="30" x14ac:dyDescent="0.2">
      <c r="A54" s="168">
        <v>233331701</v>
      </c>
      <c r="B54" s="222"/>
      <c r="C54" s="164" t="s">
        <v>177</v>
      </c>
      <c r="D54" s="228"/>
      <c r="E54" s="168" t="s">
        <v>186</v>
      </c>
      <c r="F54" s="168" t="s">
        <v>179</v>
      </c>
      <c r="G54" s="169">
        <v>59183</v>
      </c>
      <c r="H54" s="168" t="s">
        <v>187</v>
      </c>
      <c r="I54" s="228"/>
      <c r="J54" s="218"/>
      <c r="K54" s="164" t="s">
        <v>184</v>
      </c>
    </row>
    <row r="55" spans="1:11" s="164" customFormat="1" ht="15" x14ac:dyDescent="0.2">
      <c r="A55" s="170"/>
      <c r="B55" s="223"/>
      <c r="C55" s="170"/>
      <c r="D55" s="229"/>
      <c r="E55" s="170"/>
      <c r="F55" s="170"/>
      <c r="G55" s="170"/>
      <c r="H55" s="170"/>
      <c r="I55" s="229"/>
      <c r="J55" s="218"/>
      <c r="K55" s="164" t="s">
        <v>185</v>
      </c>
    </row>
    <row r="56" spans="1:11" s="164" customFormat="1" ht="24.95" customHeight="1" x14ac:dyDescent="0.2">
      <c r="A56" s="164" t="s">
        <v>217</v>
      </c>
      <c r="B56" s="221" t="s">
        <v>218</v>
      </c>
      <c r="C56" s="164" t="s">
        <v>176</v>
      </c>
      <c r="D56" s="227" t="s">
        <v>219</v>
      </c>
      <c r="E56" s="171">
        <v>6.5000000000000002E-2</v>
      </c>
      <c r="F56" s="166" t="s">
        <v>178</v>
      </c>
      <c r="G56" s="172">
        <v>42381</v>
      </c>
      <c r="H56" s="167" t="s">
        <v>343</v>
      </c>
      <c r="I56" s="227" t="s">
        <v>182</v>
      </c>
      <c r="J56" s="218" t="s">
        <v>183</v>
      </c>
      <c r="K56" s="166" t="s">
        <v>203</v>
      </c>
    </row>
    <row r="57" spans="1:11" s="164" customFormat="1" ht="15" x14ac:dyDescent="0.2">
      <c r="A57" s="168">
        <v>233331602</v>
      </c>
      <c r="B57" s="222"/>
      <c r="C57" s="164" t="s">
        <v>177</v>
      </c>
      <c r="D57" s="228"/>
      <c r="E57" s="168" t="s">
        <v>201</v>
      </c>
      <c r="F57" s="168" t="s">
        <v>179</v>
      </c>
      <c r="G57" s="169">
        <v>58818</v>
      </c>
      <c r="H57" s="168" t="s">
        <v>187</v>
      </c>
      <c r="I57" s="228"/>
      <c r="J57" s="218"/>
      <c r="K57" s="164" t="s">
        <v>184</v>
      </c>
    </row>
    <row r="58" spans="1:11" s="164" customFormat="1" ht="15" x14ac:dyDescent="0.2">
      <c r="A58" s="170"/>
      <c r="B58" s="223"/>
      <c r="C58" s="170"/>
      <c r="D58" s="229"/>
      <c r="E58" s="170"/>
      <c r="F58" s="170"/>
      <c r="G58" s="170"/>
      <c r="H58" s="170"/>
      <c r="I58" s="229"/>
      <c r="J58" s="218"/>
      <c r="K58" s="164" t="s">
        <v>185</v>
      </c>
    </row>
    <row r="59" spans="1:11" s="164" customFormat="1" ht="18.95" customHeight="1" x14ac:dyDescent="0.2">
      <c r="A59" s="164" t="s">
        <v>220</v>
      </c>
      <c r="B59" s="221" t="s">
        <v>222</v>
      </c>
      <c r="C59" s="164" t="s">
        <v>176</v>
      </c>
      <c r="D59" s="224">
        <v>41548</v>
      </c>
      <c r="E59" s="171">
        <v>5.1299999999999998E-2</v>
      </c>
      <c r="F59" s="166" t="s">
        <v>178</v>
      </c>
      <c r="G59" s="166" t="s">
        <v>224</v>
      </c>
      <c r="H59" s="167" t="s">
        <v>343</v>
      </c>
      <c r="I59" s="227" t="s">
        <v>182</v>
      </c>
      <c r="J59" s="218" t="s">
        <v>183</v>
      </c>
      <c r="K59" s="166" t="s">
        <v>188</v>
      </c>
    </row>
    <row r="60" spans="1:11" s="164" customFormat="1" ht="30" x14ac:dyDescent="0.2">
      <c r="A60" s="168" t="s">
        <v>221</v>
      </c>
      <c r="B60" s="222"/>
      <c r="C60" s="164" t="s">
        <v>177</v>
      </c>
      <c r="D60" s="225"/>
      <c r="E60" s="168" t="s">
        <v>223</v>
      </c>
      <c r="F60" s="168" t="s">
        <v>179</v>
      </c>
      <c r="G60" s="168" t="s">
        <v>225</v>
      </c>
      <c r="H60" s="168" t="s">
        <v>181</v>
      </c>
      <c r="I60" s="228"/>
      <c r="J60" s="218"/>
      <c r="K60" s="164" t="s">
        <v>184</v>
      </c>
    </row>
    <row r="61" spans="1:11" s="164" customFormat="1" ht="15" x14ac:dyDescent="0.2">
      <c r="A61" s="170"/>
      <c r="B61" s="223"/>
      <c r="C61" s="170"/>
      <c r="D61" s="226"/>
      <c r="E61" s="170"/>
      <c r="F61" s="170"/>
      <c r="G61" s="170"/>
      <c r="H61" s="170"/>
      <c r="I61" s="229"/>
      <c r="J61" s="218"/>
      <c r="K61" s="164" t="s">
        <v>185</v>
      </c>
    </row>
    <row r="62" spans="1:11" s="164" customFormat="1" ht="24.95" customHeight="1" x14ac:dyDescent="0.2">
      <c r="A62" s="164" t="s">
        <v>190</v>
      </c>
      <c r="B62" s="221" t="s">
        <v>191</v>
      </c>
      <c r="C62" s="164" t="s">
        <v>176</v>
      </c>
      <c r="D62" s="224">
        <v>41334</v>
      </c>
      <c r="E62" s="166" t="s">
        <v>192</v>
      </c>
      <c r="F62" s="166" t="s">
        <v>178</v>
      </c>
      <c r="G62" s="166" t="s">
        <v>194</v>
      </c>
      <c r="H62" s="167" t="s">
        <v>344</v>
      </c>
      <c r="I62" s="227" t="s">
        <v>182</v>
      </c>
      <c r="J62" s="218" t="s">
        <v>183</v>
      </c>
      <c r="K62" s="166" t="s">
        <v>188</v>
      </c>
    </row>
    <row r="63" spans="1:11" s="164" customFormat="1" ht="15" x14ac:dyDescent="0.2">
      <c r="A63" s="168">
        <v>20002309</v>
      </c>
      <c r="B63" s="222"/>
      <c r="C63" s="164" t="s">
        <v>177</v>
      </c>
      <c r="D63" s="225"/>
      <c r="E63" s="168" t="s">
        <v>193</v>
      </c>
      <c r="F63" s="168" t="s">
        <v>179</v>
      </c>
      <c r="G63" s="168" t="s">
        <v>195</v>
      </c>
      <c r="H63" s="168" t="s">
        <v>181</v>
      </c>
      <c r="I63" s="228"/>
      <c r="J63" s="218"/>
      <c r="K63" s="164" t="s">
        <v>184</v>
      </c>
    </row>
    <row r="64" spans="1:11" s="164" customFormat="1" ht="15" x14ac:dyDescent="0.2">
      <c r="A64" s="170"/>
      <c r="B64" s="223"/>
      <c r="C64" s="170"/>
      <c r="D64" s="226"/>
      <c r="E64" s="170"/>
      <c r="F64" s="170"/>
      <c r="G64" s="170"/>
      <c r="H64" s="170"/>
      <c r="I64" s="229"/>
      <c r="J64" s="218"/>
      <c r="K64" s="164" t="s">
        <v>185</v>
      </c>
    </row>
    <row r="65" s="173" customFormat="1" ht="24.95" customHeight="1" x14ac:dyDescent="0.2"/>
    <row r="68" ht="24.95" customHeight="1" x14ac:dyDescent="0.2"/>
    <row r="71" ht="26.1" customHeight="1" x14ac:dyDescent="0.2"/>
    <row r="74" ht="24.95" customHeight="1" x14ac:dyDescent="0.2"/>
    <row r="76" ht="24.95" customHeight="1" x14ac:dyDescent="0.2"/>
    <row r="79" ht="26.1" customHeight="1" x14ac:dyDescent="0.2"/>
    <row r="82" ht="24.95" customHeight="1" x14ac:dyDescent="0.2"/>
    <row r="85" ht="24.95" customHeight="1" x14ac:dyDescent="0.2"/>
    <row r="88" ht="24.95" customHeight="1" x14ac:dyDescent="0.2"/>
    <row r="91" ht="26.1" customHeight="1" x14ac:dyDescent="0.2"/>
    <row r="94" ht="26.1" customHeight="1" x14ac:dyDescent="0.2"/>
    <row r="97" ht="26.1" customHeight="1" x14ac:dyDescent="0.2"/>
    <row r="100" ht="26.1" customHeight="1" x14ac:dyDescent="0.2"/>
    <row r="103" ht="18.95" customHeight="1" x14ac:dyDescent="0.2"/>
    <row r="106" ht="18.95" customHeight="1" x14ac:dyDescent="0.2"/>
    <row r="109" ht="18.95" customHeight="1" x14ac:dyDescent="0.2"/>
    <row r="112" ht="18.95" customHeight="1" x14ac:dyDescent="0.2"/>
    <row r="115" ht="24.95" customHeight="1" x14ac:dyDescent="0.2"/>
    <row r="118" ht="24.95" customHeight="1" x14ac:dyDescent="0.2"/>
    <row r="121" ht="18.95" customHeight="1" x14ac:dyDescent="0.2"/>
    <row r="124" ht="18.95" customHeight="1" x14ac:dyDescent="0.2"/>
    <row r="127" ht="18.95" customHeight="1" x14ac:dyDescent="0.2"/>
    <row r="130" ht="24.95" customHeight="1" x14ac:dyDescent="0.2"/>
    <row r="133" ht="18.95" customHeight="1" x14ac:dyDescent="0.2"/>
    <row r="136" ht="18.95" customHeight="1" x14ac:dyDescent="0.2"/>
    <row r="139" ht="26.1" customHeight="1" x14ac:dyDescent="0.2"/>
    <row r="142" ht="26.1" customHeight="1" x14ac:dyDescent="0.2"/>
    <row r="145" ht="24.95" customHeight="1" x14ac:dyDescent="0.2"/>
    <row r="148" ht="24.95" customHeight="1" x14ac:dyDescent="0.2"/>
    <row r="151" ht="24.95" customHeight="1" x14ac:dyDescent="0.2"/>
    <row r="153" ht="24.95" customHeight="1" x14ac:dyDescent="0.2"/>
    <row r="156" ht="24.95" customHeight="1" x14ac:dyDescent="0.2"/>
    <row r="159" ht="24.95" customHeight="1" x14ac:dyDescent="0.2"/>
    <row r="162" ht="24.95" customHeight="1" x14ac:dyDescent="0.2"/>
    <row r="165" ht="24.95" customHeight="1" x14ac:dyDescent="0.2"/>
    <row r="168" ht="12.95" customHeight="1" x14ac:dyDescent="0.2"/>
    <row r="169" ht="12.6" customHeight="1" x14ac:dyDescent="0.2"/>
    <row r="172" ht="24.95" customHeight="1" x14ac:dyDescent="0.2"/>
  </sheetData>
  <mergeCells count="87">
    <mergeCell ref="B59:B61"/>
    <mergeCell ref="D59:D61"/>
    <mergeCell ref="I59:I61"/>
    <mergeCell ref="J59:J61"/>
    <mergeCell ref="B62:B64"/>
    <mergeCell ref="D62:D64"/>
    <mergeCell ref="I62:I64"/>
    <mergeCell ref="J62:J64"/>
    <mergeCell ref="B53:B55"/>
    <mergeCell ref="D53:D55"/>
    <mergeCell ref="I53:I55"/>
    <mergeCell ref="J53:J55"/>
    <mergeCell ref="B56:B58"/>
    <mergeCell ref="D56:D58"/>
    <mergeCell ref="I56:I58"/>
    <mergeCell ref="J56:J58"/>
    <mergeCell ref="B47:B49"/>
    <mergeCell ref="D47:D49"/>
    <mergeCell ref="I47:I49"/>
    <mergeCell ref="J47:J49"/>
    <mergeCell ref="B50:B52"/>
    <mergeCell ref="D50:D52"/>
    <mergeCell ref="I50:I52"/>
    <mergeCell ref="J50:J52"/>
    <mergeCell ref="B41:B43"/>
    <mergeCell ref="D41:D43"/>
    <mergeCell ref="I41:I43"/>
    <mergeCell ref="J41:J43"/>
    <mergeCell ref="B44:B46"/>
    <mergeCell ref="D44:D46"/>
    <mergeCell ref="I44:I46"/>
    <mergeCell ref="J44:J46"/>
    <mergeCell ref="B35:B37"/>
    <mergeCell ref="D35:D37"/>
    <mergeCell ref="I35:I37"/>
    <mergeCell ref="J35:J37"/>
    <mergeCell ref="B38:B40"/>
    <mergeCell ref="D38:D40"/>
    <mergeCell ref="I38:I40"/>
    <mergeCell ref="J38:J40"/>
    <mergeCell ref="B29:B31"/>
    <mergeCell ref="D29:D31"/>
    <mergeCell ref="I29:I31"/>
    <mergeCell ref="J29:J31"/>
    <mergeCell ref="B32:B34"/>
    <mergeCell ref="D32:D34"/>
    <mergeCell ref="I32:I34"/>
    <mergeCell ref="J32:J34"/>
    <mergeCell ref="B23:B25"/>
    <mergeCell ref="D23:D25"/>
    <mergeCell ref="I23:I25"/>
    <mergeCell ref="J23:J25"/>
    <mergeCell ref="B26:B28"/>
    <mergeCell ref="D26:D28"/>
    <mergeCell ref="I26:I28"/>
    <mergeCell ref="J26:J28"/>
    <mergeCell ref="B17:B19"/>
    <mergeCell ref="D17:D19"/>
    <mergeCell ref="I17:I19"/>
    <mergeCell ref="J17:J19"/>
    <mergeCell ref="B20:B22"/>
    <mergeCell ref="D20:D22"/>
    <mergeCell ref="I20:I22"/>
    <mergeCell ref="J20:J22"/>
    <mergeCell ref="B11:B13"/>
    <mergeCell ref="D11:D13"/>
    <mergeCell ref="I11:I13"/>
    <mergeCell ref="J11:J13"/>
    <mergeCell ref="B14:B16"/>
    <mergeCell ref="D14:D16"/>
    <mergeCell ref="I14:I16"/>
    <mergeCell ref="J14:J16"/>
    <mergeCell ref="B5:B7"/>
    <mergeCell ref="D5:D7"/>
    <mergeCell ref="I5:I7"/>
    <mergeCell ref="J5:J7"/>
    <mergeCell ref="B8:B10"/>
    <mergeCell ref="D8:D10"/>
    <mergeCell ref="I8:I10"/>
    <mergeCell ref="J8:J10"/>
    <mergeCell ref="A1:K1"/>
    <mergeCell ref="A2:K2"/>
    <mergeCell ref="B3:B4"/>
    <mergeCell ref="D3:D4"/>
    <mergeCell ref="I3:I4"/>
    <mergeCell ref="J3:J4"/>
    <mergeCell ref="K3:K4"/>
  </mergeCells>
  <printOptions gridLines="1"/>
  <pageMargins left="0.7" right="0.7" top="0.75" bottom="0.75" header="0.3" footer="0.3"/>
  <pageSetup orientation="portrait" verticalDpi="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64"/>
  <sheetViews>
    <sheetView topLeftCell="A31" zoomScale="70" zoomScaleNormal="70" workbookViewId="0">
      <selection activeCell="I11" sqref="I11:I13"/>
    </sheetView>
  </sheetViews>
  <sheetFormatPr defaultColWidth="8.7109375" defaultRowHeight="12.75" x14ac:dyDescent="0.2"/>
  <cols>
    <col min="1" max="1" width="11.42578125" style="125" bestFit="1" customWidth="1"/>
    <col min="2" max="2" width="28.28515625" style="84" customWidth="1"/>
    <col min="3" max="3" width="8.5703125" style="84" bestFit="1" customWidth="1"/>
    <col min="4" max="4" width="10" style="84" bestFit="1" customWidth="1"/>
    <col min="5" max="5" width="9.28515625" style="84" bestFit="1" customWidth="1"/>
    <col min="6" max="6" width="9.42578125" style="84" bestFit="1" customWidth="1"/>
    <col min="7" max="7" width="12.42578125" style="84" bestFit="1" customWidth="1"/>
    <col min="8" max="8" width="11.5703125" style="84" bestFit="1" customWidth="1"/>
    <col min="9" max="9" width="13.5703125" style="84" bestFit="1" customWidth="1"/>
    <col min="10" max="10" width="22.7109375" style="84" bestFit="1" customWidth="1"/>
    <col min="11" max="16384" width="8.7109375" style="84"/>
  </cols>
  <sheetData>
    <row r="1" spans="1:10" ht="18" x14ac:dyDescent="0.25">
      <c r="A1" s="230" t="s">
        <v>158</v>
      </c>
      <c r="B1" s="230"/>
      <c r="C1" s="230"/>
      <c r="D1" s="230"/>
      <c r="E1" s="230"/>
      <c r="F1" s="230"/>
      <c r="G1" s="230"/>
      <c r="H1" s="230"/>
      <c r="I1" s="230"/>
      <c r="J1" s="230"/>
    </row>
    <row r="2" spans="1:10" x14ac:dyDescent="0.2">
      <c r="A2" s="243" t="s">
        <v>300</v>
      </c>
      <c r="B2" s="244"/>
      <c r="C2" s="244"/>
      <c r="D2" s="244"/>
      <c r="E2" s="244"/>
      <c r="F2" s="244"/>
      <c r="G2" s="244"/>
      <c r="H2" s="244"/>
      <c r="I2" s="244"/>
      <c r="J2" s="245"/>
    </row>
    <row r="3" spans="1:10" ht="38.25" x14ac:dyDescent="0.2">
      <c r="A3" s="126" t="s">
        <v>301</v>
      </c>
      <c r="B3" s="246" t="s">
        <v>161</v>
      </c>
      <c r="C3" s="126" t="s">
        <v>302</v>
      </c>
      <c r="D3" s="246" t="s">
        <v>164</v>
      </c>
      <c r="E3" s="126" t="s">
        <v>303</v>
      </c>
      <c r="F3" s="126" t="s">
        <v>167</v>
      </c>
      <c r="G3" s="126" t="s">
        <v>169</v>
      </c>
      <c r="H3" s="126" t="s">
        <v>171</v>
      </c>
      <c r="I3" s="248" t="s">
        <v>174</v>
      </c>
      <c r="J3" s="246" t="s">
        <v>175</v>
      </c>
    </row>
    <row r="4" spans="1:10" ht="18" customHeight="1" x14ac:dyDescent="0.2">
      <c r="A4" s="112"/>
      <c r="B4" s="247"/>
      <c r="C4" s="127" t="s">
        <v>163</v>
      </c>
      <c r="D4" s="247"/>
      <c r="E4" s="112" t="s">
        <v>166</v>
      </c>
      <c r="F4" s="127" t="s">
        <v>168</v>
      </c>
      <c r="G4" s="112" t="s">
        <v>170</v>
      </c>
      <c r="H4" s="127" t="s">
        <v>172</v>
      </c>
      <c r="I4" s="249"/>
      <c r="J4" s="247"/>
    </row>
    <row r="5" spans="1:10" ht="25.5" x14ac:dyDescent="0.2">
      <c r="A5" s="128" t="s">
        <v>298</v>
      </c>
      <c r="B5" s="237" t="s">
        <v>299</v>
      </c>
      <c r="C5" s="128" t="s">
        <v>176</v>
      </c>
      <c r="D5" s="240">
        <v>35832</v>
      </c>
      <c r="E5" s="118" t="s">
        <v>295</v>
      </c>
      <c r="F5" s="118" t="s">
        <v>178</v>
      </c>
      <c r="G5" s="118" t="s">
        <v>296</v>
      </c>
      <c r="H5" s="120" t="s">
        <v>297</v>
      </c>
      <c r="I5" s="231" t="s">
        <v>183</v>
      </c>
      <c r="J5" s="118" t="s">
        <v>203</v>
      </c>
    </row>
    <row r="6" spans="1:10" x14ac:dyDescent="0.2">
      <c r="A6" s="115">
        <v>880591300</v>
      </c>
      <c r="B6" s="238"/>
      <c r="C6" s="129" t="s">
        <v>177</v>
      </c>
      <c r="D6" s="241"/>
      <c r="E6" s="115" t="s">
        <v>291</v>
      </c>
      <c r="F6" s="115" t="s">
        <v>291</v>
      </c>
      <c r="G6" s="124">
        <v>46758</v>
      </c>
      <c r="H6" s="115" t="s">
        <v>181</v>
      </c>
      <c r="I6" s="232"/>
      <c r="J6" s="129" t="s">
        <v>184</v>
      </c>
    </row>
    <row r="7" spans="1:10" ht="25.5" x14ac:dyDescent="0.2">
      <c r="A7" s="116"/>
      <c r="B7" s="239"/>
      <c r="C7" s="116"/>
      <c r="D7" s="242"/>
      <c r="E7" s="116"/>
      <c r="F7" s="116"/>
      <c r="G7" s="116"/>
      <c r="H7" s="116"/>
      <c r="I7" s="233"/>
      <c r="J7" s="130" t="s">
        <v>185</v>
      </c>
    </row>
    <row r="8" spans="1:10" ht="25.5" x14ac:dyDescent="0.2">
      <c r="A8" s="128" t="s">
        <v>292</v>
      </c>
      <c r="B8" s="237" t="s">
        <v>293</v>
      </c>
      <c r="C8" s="128" t="s">
        <v>176</v>
      </c>
      <c r="D8" s="234" t="s">
        <v>294</v>
      </c>
      <c r="E8" s="118" t="s">
        <v>295</v>
      </c>
      <c r="F8" s="118" t="s">
        <v>178</v>
      </c>
      <c r="G8" s="118" t="s">
        <v>296</v>
      </c>
      <c r="H8" s="120" t="s">
        <v>297</v>
      </c>
      <c r="I8" s="231" t="s">
        <v>183</v>
      </c>
      <c r="J8" s="118" t="s">
        <v>202</v>
      </c>
    </row>
    <row r="9" spans="1:10" x14ac:dyDescent="0.2">
      <c r="A9" s="115">
        <v>880591409</v>
      </c>
      <c r="B9" s="238"/>
      <c r="C9" s="129" t="s">
        <v>177</v>
      </c>
      <c r="D9" s="235"/>
      <c r="E9" s="115" t="s">
        <v>291</v>
      </c>
      <c r="F9" s="115" t="s">
        <v>291</v>
      </c>
      <c r="G9" s="124">
        <v>47123</v>
      </c>
      <c r="H9" s="115" t="s">
        <v>181</v>
      </c>
      <c r="I9" s="232"/>
      <c r="J9" s="129" t="s">
        <v>184</v>
      </c>
    </row>
    <row r="10" spans="1:10" ht="25.5" x14ac:dyDescent="0.2">
      <c r="A10" s="116"/>
      <c r="B10" s="239"/>
      <c r="C10" s="116"/>
      <c r="D10" s="236"/>
      <c r="E10" s="116"/>
      <c r="F10" s="116"/>
      <c r="G10" s="116"/>
      <c r="H10" s="116"/>
      <c r="I10" s="233"/>
      <c r="J10" s="130" t="s">
        <v>185</v>
      </c>
    </row>
    <row r="11" spans="1:10" x14ac:dyDescent="0.2">
      <c r="A11" s="128" t="s">
        <v>284</v>
      </c>
      <c r="B11" s="237" t="s">
        <v>285</v>
      </c>
      <c r="C11" s="128" t="s">
        <v>176</v>
      </c>
      <c r="D11" s="240">
        <v>40949</v>
      </c>
      <c r="E11" s="119">
        <v>4.8800000000000003E-2</v>
      </c>
      <c r="F11" s="118" t="s">
        <v>178</v>
      </c>
      <c r="G11" s="118" t="s">
        <v>198</v>
      </c>
      <c r="H11" s="120" t="s">
        <v>275</v>
      </c>
      <c r="I11" s="231" t="s">
        <v>183</v>
      </c>
      <c r="J11" s="118" t="s">
        <v>188</v>
      </c>
    </row>
    <row r="12" spans="1:10" x14ac:dyDescent="0.2">
      <c r="A12" s="115">
        <v>369622428</v>
      </c>
      <c r="B12" s="238"/>
      <c r="C12" s="129" t="s">
        <v>177</v>
      </c>
      <c r="D12" s="241"/>
      <c r="E12" s="115" t="s">
        <v>280</v>
      </c>
      <c r="F12" s="115" t="s">
        <v>179</v>
      </c>
      <c r="G12" s="115" t="s">
        <v>286</v>
      </c>
      <c r="H12" s="115" t="s">
        <v>187</v>
      </c>
      <c r="I12" s="232"/>
      <c r="J12" s="129" t="s">
        <v>184</v>
      </c>
    </row>
    <row r="13" spans="1:10" ht="25.5" x14ac:dyDescent="0.2">
      <c r="A13" s="116"/>
      <c r="B13" s="239"/>
      <c r="C13" s="116"/>
      <c r="D13" s="242"/>
      <c r="E13" s="116"/>
      <c r="F13" s="116"/>
      <c r="G13" s="116"/>
      <c r="H13" s="116"/>
      <c r="I13" s="233"/>
      <c r="J13" s="130" t="s">
        <v>185</v>
      </c>
    </row>
    <row r="14" spans="1:10" x14ac:dyDescent="0.2">
      <c r="A14" s="128" t="s">
        <v>277</v>
      </c>
      <c r="B14" s="237" t="s">
        <v>278</v>
      </c>
      <c r="C14" s="128" t="s">
        <v>176</v>
      </c>
      <c r="D14" s="234" t="s">
        <v>279</v>
      </c>
      <c r="E14" s="119">
        <v>4.8800000000000003E-2</v>
      </c>
      <c r="F14" s="118" t="s">
        <v>178</v>
      </c>
      <c r="G14" s="118" t="s">
        <v>281</v>
      </c>
      <c r="H14" s="120" t="s">
        <v>275</v>
      </c>
      <c r="I14" s="231" t="s">
        <v>183</v>
      </c>
      <c r="J14" s="118" t="s">
        <v>283</v>
      </c>
    </row>
    <row r="15" spans="1:10" x14ac:dyDescent="0.2">
      <c r="A15" s="115">
        <v>369622410</v>
      </c>
      <c r="B15" s="238"/>
      <c r="C15" s="129" t="s">
        <v>177</v>
      </c>
      <c r="D15" s="235"/>
      <c r="E15" s="115" t="s">
        <v>280</v>
      </c>
      <c r="F15" s="115" t="s">
        <v>179</v>
      </c>
      <c r="G15" s="115" t="s">
        <v>282</v>
      </c>
      <c r="H15" s="115" t="s">
        <v>187</v>
      </c>
      <c r="I15" s="232"/>
      <c r="J15" s="129" t="s">
        <v>184</v>
      </c>
    </row>
    <row r="16" spans="1:10" ht="25.5" x14ac:dyDescent="0.2">
      <c r="A16" s="116"/>
      <c r="B16" s="239"/>
      <c r="C16" s="116"/>
      <c r="D16" s="236"/>
      <c r="E16" s="116"/>
      <c r="F16" s="116"/>
      <c r="G16" s="116"/>
      <c r="H16" s="116"/>
      <c r="I16" s="233"/>
      <c r="J16" s="130" t="s">
        <v>185</v>
      </c>
    </row>
    <row r="17" spans="1:10" x14ac:dyDescent="0.2">
      <c r="A17" s="128" t="s">
        <v>271</v>
      </c>
      <c r="B17" s="237" t="s">
        <v>272</v>
      </c>
      <c r="C17" s="128" t="s">
        <v>176</v>
      </c>
      <c r="D17" s="240">
        <v>41522</v>
      </c>
      <c r="E17" s="119">
        <v>4.7E-2</v>
      </c>
      <c r="F17" s="118" t="s">
        <v>178</v>
      </c>
      <c r="G17" s="118" t="s">
        <v>273</v>
      </c>
      <c r="H17" s="120" t="s">
        <v>275</v>
      </c>
      <c r="I17" s="231" t="s">
        <v>183</v>
      </c>
      <c r="J17" s="118" t="s">
        <v>276</v>
      </c>
    </row>
    <row r="18" spans="1:10" x14ac:dyDescent="0.2">
      <c r="A18" s="115">
        <v>369622394</v>
      </c>
      <c r="B18" s="238"/>
      <c r="C18" s="129" t="s">
        <v>177</v>
      </c>
      <c r="D18" s="241"/>
      <c r="E18" s="115" t="s">
        <v>256</v>
      </c>
      <c r="F18" s="115" t="s">
        <v>179</v>
      </c>
      <c r="G18" s="115" t="s">
        <v>274</v>
      </c>
      <c r="H18" s="115" t="s">
        <v>187</v>
      </c>
      <c r="I18" s="232"/>
      <c r="J18" s="129" t="s">
        <v>184</v>
      </c>
    </row>
    <row r="19" spans="1:10" ht="25.5" x14ac:dyDescent="0.2">
      <c r="A19" s="116"/>
      <c r="B19" s="239"/>
      <c r="C19" s="116"/>
      <c r="D19" s="242"/>
      <c r="E19" s="116"/>
      <c r="F19" s="116"/>
      <c r="G19" s="116"/>
      <c r="H19" s="116"/>
      <c r="I19" s="233"/>
      <c r="J19" s="130" t="s">
        <v>185</v>
      </c>
    </row>
    <row r="20" spans="1:10" x14ac:dyDescent="0.2">
      <c r="A20" s="128" t="s">
        <v>239</v>
      </c>
      <c r="B20" s="237" t="s">
        <v>241</v>
      </c>
      <c r="C20" s="128" t="s">
        <v>176</v>
      </c>
      <c r="D20" s="234" t="s">
        <v>242</v>
      </c>
      <c r="E20" s="119">
        <v>5.8799999999999998E-2</v>
      </c>
      <c r="F20" s="118" t="s">
        <v>178</v>
      </c>
      <c r="G20" s="118" t="s">
        <v>243</v>
      </c>
      <c r="H20" s="120" t="s">
        <v>238</v>
      </c>
      <c r="I20" s="231" t="s">
        <v>183</v>
      </c>
      <c r="J20" s="118" t="s">
        <v>189</v>
      </c>
    </row>
    <row r="21" spans="1:10" x14ac:dyDescent="0.2">
      <c r="A21" s="115" t="s">
        <v>240</v>
      </c>
      <c r="B21" s="238"/>
      <c r="C21" s="129" t="s">
        <v>177</v>
      </c>
      <c r="D21" s="235"/>
      <c r="E21" s="115" t="s">
        <v>196</v>
      </c>
      <c r="F21" s="115" t="s">
        <v>179</v>
      </c>
      <c r="G21" s="115" t="s">
        <v>244</v>
      </c>
      <c r="H21" s="115" t="s">
        <v>181</v>
      </c>
      <c r="I21" s="232"/>
      <c r="J21" s="129" t="s">
        <v>184</v>
      </c>
    </row>
    <row r="22" spans="1:10" ht="25.5" x14ac:dyDescent="0.2">
      <c r="A22" s="116"/>
      <c r="B22" s="239"/>
      <c r="C22" s="116"/>
      <c r="D22" s="236"/>
      <c r="E22" s="116"/>
      <c r="F22" s="116"/>
      <c r="G22" s="116"/>
      <c r="H22" s="116"/>
      <c r="I22" s="233"/>
      <c r="J22" s="130" t="s">
        <v>185</v>
      </c>
    </row>
    <row r="23" spans="1:10" x14ac:dyDescent="0.2">
      <c r="A23" s="128" t="s">
        <v>245</v>
      </c>
      <c r="B23" s="237" t="s">
        <v>247</v>
      </c>
      <c r="C23" s="128" t="s">
        <v>176</v>
      </c>
      <c r="D23" s="234" t="s">
        <v>248</v>
      </c>
      <c r="E23" s="119">
        <v>0.06</v>
      </c>
      <c r="F23" s="118" t="s">
        <v>178</v>
      </c>
      <c r="G23" s="118" t="s">
        <v>250</v>
      </c>
      <c r="H23" s="120" t="s">
        <v>238</v>
      </c>
      <c r="I23" s="231" t="s">
        <v>183</v>
      </c>
      <c r="J23" s="118" t="s">
        <v>189</v>
      </c>
    </row>
    <row r="24" spans="1:10" x14ac:dyDescent="0.2">
      <c r="A24" s="115" t="s">
        <v>246</v>
      </c>
      <c r="B24" s="238"/>
      <c r="C24" s="129" t="s">
        <v>177</v>
      </c>
      <c r="D24" s="235"/>
      <c r="E24" s="115" t="s">
        <v>249</v>
      </c>
      <c r="F24" s="115" t="s">
        <v>179</v>
      </c>
      <c r="G24" s="115" t="s">
        <v>251</v>
      </c>
      <c r="H24" s="115" t="s">
        <v>181</v>
      </c>
      <c r="I24" s="232"/>
      <c r="J24" s="129" t="s">
        <v>184</v>
      </c>
    </row>
    <row r="25" spans="1:10" ht="25.5" x14ac:dyDescent="0.2">
      <c r="A25" s="116"/>
      <c r="B25" s="239"/>
      <c r="C25" s="116"/>
      <c r="D25" s="236"/>
      <c r="E25" s="116"/>
      <c r="F25" s="116"/>
      <c r="G25" s="116"/>
      <c r="H25" s="116"/>
      <c r="I25" s="233"/>
      <c r="J25" s="130" t="s">
        <v>185</v>
      </c>
    </row>
    <row r="26" spans="1:10" x14ac:dyDescent="0.2">
      <c r="A26" s="128" t="s">
        <v>234</v>
      </c>
      <c r="B26" s="237" t="s">
        <v>236</v>
      </c>
      <c r="C26" s="128" t="s">
        <v>176</v>
      </c>
      <c r="D26" s="234" t="s">
        <v>237</v>
      </c>
      <c r="E26" s="119">
        <v>5.2499999999999998E-2</v>
      </c>
      <c r="F26" s="118" t="s">
        <v>178</v>
      </c>
      <c r="G26" s="123">
        <v>42742</v>
      </c>
      <c r="H26" s="120" t="s">
        <v>238</v>
      </c>
      <c r="I26" s="231" t="s">
        <v>183</v>
      </c>
      <c r="J26" s="118" t="s">
        <v>199</v>
      </c>
    </row>
    <row r="27" spans="1:10" x14ac:dyDescent="0.2">
      <c r="A27" s="115" t="s">
        <v>235</v>
      </c>
      <c r="B27" s="238"/>
      <c r="C27" s="129" t="s">
        <v>177</v>
      </c>
      <c r="D27" s="235"/>
      <c r="E27" s="115" t="s">
        <v>186</v>
      </c>
      <c r="F27" s="115" t="s">
        <v>179</v>
      </c>
      <c r="G27" s="124">
        <v>55525</v>
      </c>
      <c r="H27" s="115" t="s">
        <v>181</v>
      </c>
      <c r="I27" s="232"/>
      <c r="J27" s="129" t="s">
        <v>184</v>
      </c>
    </row>
    <row r="28" spans="1:10" ht="25.5" x14ac:dyDescent="0.2">
      <c r="A28" s="116"/>
      <c r="B28" s="239"/>
      <c r="C28" s="116"/>
      <c r="D28" s="236"/>
      <c r="E28" s="116"/>
      <c r="F28" s="116"/>
      <c r="G28" s="116"/>
      <c r="H28" s="116"/>
      <c r="I28" s="233"/>
      <c r="J28" s="130" t="s">
        <v>185</v>
      </c>
    </row>
    <row r="29" spans="1:10" x14ac:dyDescent="0.2">
      <c r="A29" s="128" t="s">
        <v>287</v>
      </c>
      <c r="B29" s="237" t="s">
        <v>288</v>
      </c>
      <c r="C29" s="128" t="s">
        <v>176</v>
      </c>
      <c r="D29" s="240">
        <v>40216</v>
      </c>
      <c r="E29" s="119">
        <v>7.7499999999999999E-2</v>
      </c>
      <c r="F29" s="118" t="s">
        <v>178</v>
      </c>
      <c r="G29" s="118" t="s">
        <v>289</v>
      </c>
      <c r="H29" s="120" t="s">
        <v>238</v>
      </c>
      <c r="I29" s="231" t="s">
        <v>183</v>
      </c>
      <c r="J29" s="118" t="s">
        <v>188</v>
      </c>
    </row>
    <row r="30" spans="1:10" x14ac:dyDescent="0.2">
      <c r="A30" s="115">
        <v>539439802</v>
      </c>
      <c r="B30" s="238"/>
      <c r="C30" s="129" t="s">
        <v>177</v>
      </c>
      <c r="D30" s="241"/>
      <c r="E30" s="115" t="s">
        <v>200</v>
      </c>
      <c r="F30" s="115" t="s">
        <v>179</v>
      </c>
      <c r="G30" s="115" t="s">
        <v>290</v>
      </c>
      <c r="H30" s="115" t="s">
        <v>187</v>
      </c>
      <c r="I30" s="232"/>
      <c r="J30" s="129" t="s">
        <v>184</v>
      </c>
    </row>
    <row r="31" spans="1:10" ht="25.5" x14ac:dyDescent="0.2">
      <c r="A31" s="116"/>
      <c r="B31" s="239"/>
      <c r="C31" s="116"/>
      <c r="D31" s="242"/>
      <c r="E31" s="116"/>
      <c r="F31" s="116"/>
      <c r="G31" s="116"/>
      <c r="H31" s="116"/>
      <c r="I31" s="233"/>
      <c r="J31" s="130" t="s">
        <v>185</v>
      </c>
    </row>
    <row r="32" spans="1:10" x14ac:dyDescent="0.2">
      <c r="A32" s="128" t="s">
        <v>252</v>
      </c>
      <c r="B32" s="237" t="s">
        <v>254</v>
      </c>
      <c r="C32" s="128" t="s">
        <v>176</v>
      </c>
      <c r="D32" s="234" t="s">
        <v>255</v>
      </c>
      <c r="E32" s="119">
        <v>4.7E-2</v>
      </c>
      <c r="F32" s="118" t="s">
        <v>178</v>
      </c>
      <c r="G32" s="123">
        <v>43106</v>
      </c>
      <c r="H32" s="120" t="s">
        <v>212</v>
      </c>
      <c r="I32" s="231" t="s">
        <v>183</v>
      </c>
      <c r="J32" s="118" t="s">
        <v>203</v>
      </c>
    </row>
    <row r="33" spans="1:10" x14ac:dyDescent="0.2">
      <c r="A33" s="115" t="s">
        <v>253</v>
      </c>
      <c r="B33" s="238"/>
      <c r="C33" s="129" t="s">
        <v>177</v>
      </c>
      <c r="D33" s="235"/>
      <c r="E33" s="115" t="s">
        <v>256</v>
      </c>
      <c r="F33" s="115" t="s">
        <v>179</v>
      </c>
      <c r="G33" s="124">
        <v>59542</v>
      </c>
      <c r="H33" s="115" t="s">
        <v>187</v>
      </c>
      <c r="I33" s="232"/>
      <c r="J33" s="129" t="s">
        <v>184</v>
      </c>
    </row>
    <row r="34" spans="1:10" ht="25.5" x14ac:dyDescent="0.2">
      <c r="A34" s="116"/>
      <c r="B34" s="239"/>
      <c r="C34" s="116"/>
      <c r="D34" s="236"/>
      <c r="E34" s="116"/>
      <c r="F34" s="116"/>
      <c r="G34" s="116"/>
      <c r="H34" s="116"/>
      <c r="I34" s="233"/>
      <c r="J34" s="130" t="s">
        <v>185</v>
      </c>
    </row>
    <row r="35" spans="1:10" x14ac:dyDescent="0.2">
      <c r="A35" s="128" t="s">
        <v>257</v>
      </c>
      <c r="B35" s="237" t="s">
        <v>259</v>
      </c>
      <c r="C35" s="128" t="s">
        <v>176</v>
      </c>
      <c r="D35" s="234" t="s">
        <v>260</v>
      </c>
      <c r="E35" s="119">
        <v>0.06</v>
      </c>
      <c r="F35" s="118" t="s">
        <v>178</v>
      </c>
      <c r="G35" s="123">
        <v>39093</v>
      </c>
      <c r="H35" s="120" t="s">
        <v>212</v>
      </c>
      <c r="I35" s="231" t="s">
        <v>183</v>
      </c>
      <c r="J35" s="118" t="s">
        <v>202</v>
      </c>
    </row>
    <row r="36" spans="1:10" x14ac:dyDescent="0.2">
      <c r="A36" s="115" t="s">
        <v>258</v>
      </c>
      <c r="B36" s="238"/>
      <c r="C36" s="129" t="s">
        <v>177</v>
      </c>
      <c r="D36" s="235"/>
      <c r="E36" s="115" t="s">
        <v>261</v>
      </c>
      <c r="F36" s="115" t="s">
        <v>179</v>
      </c>
      <c r="G36" s="124">
        <v>48224</v>
      </c>
      <c r="H36" s="115" t="s">
        <v>187</v>
      </c>
      <c r="I36" s="232"/>
      <c r="J36" s="129" t="s">
        <v>184</v>
      </c>
    </row>
    <row r="37" spans="1:10" ht="25.5" x14ac:dyDescent="0.2">
      <c r="A37" s="116"/>
      <c r="B37" s="239"/>
      <c r="C37" s="116"/>
      <c r="D37" s="236"/>
      <c r="E37" s="116"/>
      <c r="F37" s="116"/>
      <c r="G37" s="116"/>
      <c r="H37" s="116"/>
      <c r="I37" s="233"/>
      <c r="J37" s="130" t="s">
        <v>185</v>
      </c>
    </row>
    <row r="38" spans="1:10" x14ac:dyDescent="0.2">
      <c r="A38" s="128" t="s">
        <v>262</v>
      </c>
      <c r="B38" s="237" t="s">
        <v>264</v>
      </c>
      <c r="C38" s="128" t="s">
        <v>176</v>
      </c>
      <c r="D38" s="234" t="s">
        <v>265</v>
      </c>
      <c r="E38" s="119">
        <v>0.06</v>
      </c>
      <c r="F38" s="118" t="s">
        <v>178</v>
      </c>
      <c r="G38" s="123">
        <v>42374</v>
      </c>
      <c r="H38" s="120" t="s">
        <v>212</v>
      </c>
      <c r="I38" s="231" t="s">
        <v>183</v>
      </c>
      <c r="J38" s="118" t="s">
        <v>202</v>
      </c>
    </row>
    <row r="39" spans="1:10" x14ac:dyDescent="0.2">
      <c r="A39" s="115" t="s">
        <v>263</v>
      </c>
      <c r="B39" s="238"/>
      <c r="C39" s="129" t="s">
        <v>177</v>
      </c>
      <c r="D39" s="235"/>
      <c r="E39" s="115" t="s">
        <v>249</v>
      </c>
      <c r="F39" s="115" t="s">
        <v>179</v>
      </c>
      <c r="G39" s="124">
        <v>55158</v>
      </c>
      <c r="H39" s="115" t="s">
        <v>187</v>
      </c>
      <c r="I39" s="232"/>
      <c r="J39" s="129" t="s">
        <v>184</v>
      </c>
    </row>
    <row r="40" spans="1:10" ht="25.5" x14ac:dyDescent="0.2">
      <c r="A40" s="116"/>
      <c r="B40" s="239"/>
      <c r="C40" s="116"/>
      <c r="D40" s="236"/>
      <c r="E40" s="116"/>
      <c r="F40" s="116"/>
      <c r="G40" s="116"/>
      <c r="H40" s="116"/>
      <c r="I40" s="233"/>
      <c r="J40" s="130" t="s">
        <v>185</v>
      </c>
    </row>
    <row r="41" spans="1:10" x14ac:dyDescent="0.2">
      <c r="A41" s="128" t="s">
        <v>226</v>
      </c>
      <c r="B41" s="237" t="s">
        <v>228</v>
      </c>
      <c r="C41" s="128" t="s">
        <v>176</v>
      </c>
      <c r="D41" s="240">
        <v>40339</v>
      </c>
      <c r="E41" s="119">
        <v>5.7500000000000002E-2</v>
      </c>
      <c r="F41" s="118" t="s">
        <v>178</v>
      </c>
      <c r="G41" s="123">
        <v>42015</v>
      </c>
      <c r="H41" s="120" t="s">
        <v>212</v>
      </c>
      <c r="I41" s="231" t="s">
        <v>183</v>
      </c>
      <c r="J41" s="118" t="s">
        <v>202</v>
      </c>
    </row>
    <row r="42" spans="1:10" x14ac:dyDescent="0.2">
      <c r="A42" s="115" t="s">
        <v>227</v>
      </c>
      <c r="B42" s="238"/>
      <c r="C42" s="129" t="s">
        <v>177</v>
      </c>
      <c r="D42" s="241"/>
      <c r="E42" s="115" t="s">
        <v>197</v>
      </c>
      <c r="F42" s="115" t="s">
        <v>179</v>
      </c>
      <c r="G42" s="124">
        <v>51146</v>
      </c>
      <c r="H42" s="115" t="s">
        <v>187</v>
      </c>
      <c r="I42" s="232"/>
      <c r="J42" s="129" t="s">
        <v>184</v>
      </c>
    </row>
    <row r="43" spans="1:10" ht="25.5" x14ac:dyDescent="0.2">
      <c r="A43" s="116"/>
      <c r="B43" s="239"/>
      <c r="C43" s="116"/>
      <c r="D43" s="242"/>
      <c r="E43" s="116"/>
      <c r="F43" s="116"/>
      <c r="G43" s="116"/>
      <c r="H43" s="116"/>
      <c r="I43" s="233"/>
      <c r="J43" s="130" t="s">
        <v>185</v>
      </c>
    </row>
    <row r="44" spans="1:10" x14ac:dyDescent="0.2">
      <c r="A44" s="128" t="s">
        <v>229</v>
      </c>
      <c r="B44" s="237" t="s">
        <v>231</v>
      </c>
      <c r="C44" s="128" t="s">
        <v>176</v>
      </c>
      <c r="D44" s="234" t="s">
        <v>232</v>
      </c>
      <c r="E44" s="119">
        <v>4.7500000000000001E-2</v>
      </c>
      <c r="F44" s="118" t="s">
        <v>178</v>
      </c>
      <c r="G44" s="123">
        <v>43106</v>
      </c>
      <c r="H44" s="120" t="s">
        <v>212</v>
      </c>
      <c r="I44" s="231" t="s">
        <v>183</v>
      </c>
      <c r="J44" s="118" t="s">
        <v>203</v>
      </c>
    </row>
    <row r="45" spans="1:10" x14ac:dyDescent="0.2">
      <c r="A45" s="115" t="s">
        <v>230</v>
      </c>
      <c r="B45" s="238"/>
      <c r="C45" s="129" t="s">
        <v>177</v>
      </c>
      <c r="D45" s="235"/>
      <c r="E45" s="115" t="s">
        <v>233</v>
      </c>
      <c r="F45" s="115" t="s">
        <v>179</v>
      </c>
      <c r="G45" s="124">
        <v>59542</v>
      </c>
      <c r="H45" s="115" t="s">
        <v>187</v>
      </c>
      <c r="I45" s="232"/>
      <c r="J45" s="129" t="s">
        <v>184</v>
      </c>
    </row>
    <row r="46" spans="1:10" ht="25.5" x14ac:dyDescent="0.2">
      <c r="A46" s="116"/>
      <c r="B46" s="239"/>
      <c r="C46" s="116"/>
      <c r="D46" s="236"/>
      <c r="E46" s="116"/>
      <c r="F46" s="116"/>
      <c r="G46" s="116"/>
      <c r="H46" s="116"/>
      <c r="I46" s="233"/>
      <c r="J46" s="130" t="s">
        <v>185</v>
      </c>
    </row>
    <row r="47" spans="1:10" x14ac:dyDescent="0.2">
      <c r="A47" s="128" t="s">
        <v>266</v>
      </c>
      <c r="B47" s="237" t="s">
        <v>268</v>
      </c>
      <c r="C47" s="128" t="s">
        <v>176</v>
      </c>
      <c r="D47" s="240">
        <v>40394</v>
      </c>
      <c r="E47" s="119">
        <v>6.2E-2</v>
      </c>
      <c r="F47" s="118" t="s">
        <v>178</v>
      </c>
      <c r="G47" s="118" t="s">
        <v>204</v>
      </c>
      <c r="H47" s="120" t="s">
        <v>212</v>
      </c>
      <c r="I47" s="231" t="s">
        <v>183</v>
      </c>
      <c r="J47" s="118" t="s">
        <v>188</v>
      </c>
    </row>
    <row r="48" spans="1:10" x14ac:dyDescent="0.2">
      <c r="A48" s="115" t="s">
        <v>267</v>
      </c>
      <c r="B48" s="238"/>
      <c r="C48" s="129" t="s">
        <v>177</v>
      </c>
      <c r="D48" s="241"/>
      <c r="E48" s="115" t="s">
        <v>269</v>
      </c>
      <c r="F48" s="115" t="s">
        <v>179</v>
      </c>
      <c r="G48" s="115" t="s">
        <v>270</v>
      </c>
      <c r="H48" s="115" t="s">
        <v>187</v>
      </c>
      <c r="I48" s="232"/>
      <c r="J48" s="129" t="s">
        <v>184</v>
      </c>
    </row>
    <row r="49" spans="1:10" ht="25.5" x14ac:dyDescent="0.2">
      <c r="A49" s="116"/>
      <c r="B49" s="239"/>
      <c r="C49" s="116"/>
      <c r="D49" s="242"/>
      <c r="E49" s="116"/>
      <c r="F49" s="116"/>
      <c r="G49" s="116"/>
      <c r="H49" s="116"/>
      <c r="I49" s="233"/>
      <c r="J49" s="130" t="s">
        <v>185</v>
      </c>
    </row>
    <row r="50" spans="1:10" x14ac:dyDescent="0.2">
      <c r="A50" s="128" t="s">
        <v>205</v>
      </c>
      <c r="B50" s="237" t="s">
        <v>207</v>
      </c>
      <c r="C50" s="128" t="s">
        <v>176</v>
      </c>
      <c r="D50" s="234" t="s">
        <v>208</v>
      </c>
      <c r="E50" s="119">
        <v>0.05</v>
      </c>
      <c r="F50" s="118" t="s">
        <v>178</v>
      </c>
      <c r="G50" s="118" t="s">
        <v>210</v>
      </c>
      <c r="H50" s="120" t="s">
        <v>212</v>
      </c>
      <c r="I50" s="231" t="s">
        <v>183</v>
      </c>
      <c r="J50" s="118" t="s">
        <v>189</v>
      </c>
    </row>
    <row r="51" spans="1:10" x14ac:dyDescent="0.2">
      <c r="A51" s="115" t="s">
        <v>206</v>
      </c>
      <c r="B51" s="238"/>
      <c r="C51" s="129" t="s">
        <v>177</v>
      </c>
      <c r="D51" s="235"/>
      <c r="E51" s="115" t="s">
        <v>209</v>
      </c>
      <c r="F51" s="115" t="s">
        <v>179</v>
      </c>
      <c r="G51" s="115" t="s">
        <v>211</v>
      </c>
      <c r="H51" s="115" t="s">
        <v>181</v>
      </c>
      <c r="I51" s="232"/>
      <c r="J51" s="129" t="s">
        <v>184</v>
      </c>
    </row>
    <row r="52" spans="1:10" ht="25.5" x14ac:dyDescent="0.2">
      <c r="A52" s="116"/>
      <c r="B52" s="239"/>
      <c r="C52" s="116"/>
      <c r="D52" s="236"/>
      <c r="E52" s="116"/>
      <c r="F52" s="116"/>
      <c r="G52" s="116"/>
      <c r="H52" s="116"/>
      <c r="I52" s="233"/>
      <c r="J52" s="130" t="s">
        <v>185</v>
      </c>
    </row>
    <row r="53" spans="1:10" x14ac:dyDescent="0.2">
      <c r="A53" s="128" t="s">
        <v>213</v>
      </c>
      <c r="B53" s="237" t="s">
        <v>214</v>
      </c>
      <c r="C53" s="128" t="s">
        <v>176</v>
      </c>
      <c r="D53" s="234" t="s">
        <v>215</v>
      </c>
      <c r="E53" s="119">
        <v>5.2499999999999998E-2</v>
      </c>
      <c r="F53" s="118" t="s">
        <v>178</v>
      </c>
      <c r="G53" s="123">
        <v>42747</v>
      </c>
      <c r="H53" s="120" t="s">
        <v>216</v>
      </c>
      <c r="I53" s="231" t="s">
        <v>183</v>
      </c>
      <c r="J53" s="118" t="s">
        <v>203</v>
      </c>
    </row>
    <row r="54" spans="1:10" x14ac:dyDescent="0.2">
      <c r="A54" s="115">
        <v>233331701</v>
      </c>
      <c r="B54" s="238"/>
      <c r="C54" s="129" t="s">
        <v>177</v>
      </c>
      <c r="D54" s="235"/>
      <c r="E54" s="115" t="s">
        <v>186</v>
      </c>
      <c r="F54" s="115" t="s">
        <v>179</v>
      </c>
      <c r="G54" s="124">
        <v>59183</v>
      </c>
      <c r="H54" s="115" t="s">
        <v>187</v>
      </c>
      <c r="I54" s="232"/>
      <c r="J54" s="129" t="s">
        <v>184</v>
      </c>
    </row>
    <row r="55" spans="1:10" ht="25.5" x14ac:dyDescent="0.2">
      <c r="A55" s="116"/>
      <c r="B55" s="239"/>
      <c r="C55" s="116"/>
      <c r="D55" s="236"/>
      <c r="E55" s="116"/>
      <c r="F55" s="116"/>
      <c r="G55" s="116"/>
      <c r="H55" s="116"/>
      <c r="I55" s="233"/>
      <c r="J55" s="130" t="s">
        <v>185</v>
      </c>
    </row>
    <row r="56" spans="1:10" x14ac:dyDescent="0.2">
      <c r="A56" s="128" t="s">
        <v>217</v>
      </c>
      <c r="B56" s="237" t="s">
        <v>218</v>
      </c>
      <c r="C56" s="128" t="s">
        <v>176</v>
      </c>
      <c r="D56" s="234" t="s">
        <v>219</v>
      </c>
      <c r="E56" s="119">
        <v>6.5000000000000002E-2</v>
      </c>
      <c r="F56" s="118" t="s">
        <v>178</v>
      </c>
      <c r="G56" s="123">
        <v>42381</v>
      </c>
      <c r="H56" s="120" t="s">
        <v>216</v>
      </c>
      <c r="I56" s="231" t="s">
        <v>183</v>
      </c>
      <c r="J56" s="118" t="s">
        <v>203</v>
      </c>
    </row>
    <row r="57" spans="1:10" x14ac:dyDescent="0.2">
      <c r="A57" s="115">
        <v>233331602</v>
      </c>
      <c r="B57" s="238"/>
      <c r="C57" s="129" t="s">
        <v>177</v>
      </c>
      <c r="D57" s="235"/>
      <c r="E57" s="115" t="s">
        <v>201</v>
      </c>
      <c r="F57" s="115" t="s">
        <v>179</v>
      </c>
      <c r="G57" s="124">
        <v>58818</v>
      </c>
      <c r="H57" s="115" t="s">
        <v>187</v>
      </c>
      <c r="I57" s="232"/>
      <c r="J57" s="129" t="s">
        <v>184</v>
      </c>
    </row>
    <row r="58" spans="1:10" ht="25.5" x14ac:dyDescent="0.2">
      <c r="A58" s="116"/>
      <c r="B58" s="239"/>
      <c r="C58" s="116"/>
      <c r="D58" s="236"/>
      <c r="E58" s="116"/>
      <c r="F58" s="116"/>
      <c r="G58" s="116"/>
      <c r="H58" s="116"/>
      <c r="I58" s="233"/>
      <c r="J58" s="130" t="s">
        <v>185</v>
      </c>
    </row>
    <row r="59" spans="1:10" x14ac:dyDescent="0.2">
      <c r="A59" s="128" t="s">
        <v>220</v>
      </c>
      <c r="B59" s="237" t="s">
        <v>222</v>
      </c>
      <c r="C59" s="128" t="s">
        <v>176</v>
      </c>
      <c r="D59" s="240">
        <v>41548</v>
      </c>
      <c r="E59" s="119">
        <v>5.1299999999999998E-2</v>
      </c>
      <c r="F59" s="118" t="s">
        <v>178</v>
      </c>
      <c r="G59" s="118" t="s">
        <v>224</v>
      </c>
      <c r="H59" s="120" t="s">
        <v>216</v>
      </c>
      <c r="I59" s="231" t="s">
        <v>183</v>
      </c>
      <c r="J59" s="118" t="s">
        <v>188</v>
      </c>
    </row>
    <row r="60" spans="1:10" x14ac:dyDescent="0.2">
      <c r="A60" s="115" t="s">
        <v>221</v>
      </c>
      <c r="B60" s="238"/>
      <c r="C60" s="129" t="s">
        <v>177</v>
      </c>
      <c r="D60" s="241"/>
      <c r="E60" s="115" t="s">
        <v>223</v>
      </c>
      <c r="F60" s="115" t="s">
        <v>179</v>
      </c>
      <c r="G60" s="115" t="s">
        <v>225</v>
      </c>
      <c r="H60" s="115" t="s">
        <v>181</v>
      </c>
      <c r="I60" s="232"/>
      <c r="J60" s="129" t="s">
        <v>184</v>
      </c>
    </row>
    <row r="61" spans="1:10" ht="25.5" x14ac:dyDescent="0.2">
      <c r="A61" s="116"/>
      <c r="B61" s="239"/>
      <c r="C61" s="116"/>
      <c r="D61" s="242"/>
      <c r="E61" s="116"/>
      <c r="F61" s="116"/>
      <c r="G61" s="116"/>
      <c r="H61" s="116"/>
      <c r="I61" s="233"/>
      <c r="J61" s="130" t="s">
        <v>185</v>
      </c>
    </row>
    <row r="62" spans="1:10" x14ac:dyDescent="0.2">
      <c r="A62" s="128" t="s">
        <v>190</v>
      </c>
      <c r="B62" s="237" t="s">
        <v>191</v>
      </c>
      <c r="C62" s="128" t="s">
        <v>176</v>
      </c>
      <c r="D62" s="240">
        <v>41334</v>
      </c>
      <c r="E62" s="118" t="s">
        <v>192</v>
      </c>
      <c r="F62" s="118" t="s">
        <v>178</v>
      </c>
      <c r="G62" s="118" t="s">
        <v>194</v>
      </c>
      <c r="H62" s="120" t="s">
        <v>180</v>
      </c>
      <c r="I62" s="231" t="s">
        <v>183</v>
      </c>
      <c r="J62" s="118" t="s">
        <v>188</v>
      </c>
    </row>
    <row r="63" spans="1:10" x14ac:dyDescent="0.2">
      <c r="A63" s="115">
        <v>20002309</v>
      </c>
      <c r="B63" s="238"/>
      <c r="C63" s="129" t="s">
        <v>177</v>
      </c>
      <c r="D63" s="241"/>
      <c r="E63" s="115" t="s">
        <v>193</v>
      </c>
      <c r="F63" s="115" t="s">
        <v>179</v>
      </c>
      <c r="G63" s="115" t="s">
        <v>195</v>
      </c>
      <c r="H63" s="115" t="s">
        <v>181</v>
      </c>
      <c r="I63" s="232"/>
      <c r="J63" s="129" t="s">
        <v>184</v>
      </c>
    </row>
    <row r="64" spans="1:10" ht="25.5" x14ac:dyDescent="0.2">
      <c r="A64" s="116"/>
      <c r="B64" s="239"/>
      <c r="C64" s="116"/>
      <c r="D64" s="242"/>
      <c r="E64" s="116"/>
      <c r="F64" s="116"/>
      <c r="G64" s="116"/>
      <c r="H64" s="116"/>
      <c r="I64" s="233"/>
      <c r="J64" s="130" t="s">
        <v>185</v>
      </c>
    </row>
  </sheetData>
  <mergeCells count="66">
    <mergeCell ref="B44:B46"/>
    <mergeCell ref="D44:D46"/>
    <mergeCell ref="B38:B40"/>
    <mergeCell ref="D38:D40"/>
    <mergeCell ref="B32:B34"/>
    <mergeCell ref="D32:D34"/>
    <mergeCell ref="B41:B43"/>
    <mergeCell ref="D41:D43"/>
    <mergeCell ref="B62:B64"/>
    <mergeCell ref="D62:D64"/>
    <mergeCell ref="B56:B58"/>
    <mergeCell ref="B50:B52"/>
    <mergeCell ref="D50:D52"/>
    <mergeCell ref="A2:J2"/>
    <mergeCell ref="B3:B4"/>
    <mergeCell ref="D3:D4"/>
    <mergeCell ref="I3:I4"/>
    <mergeCell ref="J3:J4"/>
    <mergeCell ref="B5:B7"/>
    <mergeCell ref="D5:D7"/>
    <mergeCell ref="I5:I7"/>
    <mergeCell ref="B8:B10"/>
    <mergeCell ref="D8:D10"/>
    <mergeCell ref="I8:I10"/>
    <mergeCell ref="B11:B13"/>
    <mergeCell ref="D11:D13"/>
    <mergeCell ref="I11:I13"/>
    <mergeCell ref="B14:B16"/>
    <mergeCell ref="D14:D16"/>
    <mergeCell ref="I14:I16"/>
    <mergeCell ref="B17:B19"/>
    <mergeCell ref="D17:D19"/>
    <mergeCell ref="I17:I19"/>
    <mergeCell ref="B20:B22"/>
    <mergeCell ref="D20:D22"/>
    <mergeCell ref="I20:I22"/>
    <mergeCell ref="B29:B31"/>
    <mergeCell ref="D29:D31"/>
    <mergeCell ref="I29:I31"/>
    <mergeCell ref="I23:I25"/>
    <mergeCell ref="B26:B28"/>
    <mergeCell ref="D26:D28"/>
    <mergeCell ref="I26:I28"/>
    <mergeCell ref="B23:B25"/>
    <mergeCell ref="D23:D25"/>
    <mergeCell ref="I41:I43"/>
    <mergeCell ref="I32:I34"/>
    <mergeCell ref="B35:B37"/>
    <mergeCell ref="D35:D37"/>
    <mergeCell ref="I35:I37"/>
    <mergeCell ref="I62:I64"/>
    <mergeCell ref="A1:J1"/>
    <mergeCell ref="D56:D58"/>
    <mergeCell ref="I56:I58"/>
    <mergeCell ref="B59:B61"/>
    <mergeCell ref="D59:D61"/>
    <mergeCell ref="I59:I61"/>
    <mergeCell ref="I50:I52"/>
    <mergeCell ref="B53:B55"/>
    <mergeCell ref="D53:D55"/>
    <mergeCell ref="I53:I55"/>
    <mergeCell ref="I44:I46"/>
    <mergeCell ref="B47:B49"/>
    <mergeCell ref="D47:D49"/>
    <mergeCell ref="I47:I49"/>
    <mergeCell ref="I38:I40"/>
  </mergeCells>
  <hyperlinks>
    <hyperlink ref="A3" r:id="rId1" display="http://www.quantumonline.com/debttable.cfm?SortColumn=symbol&amp;Sortorder=ASC"/>
    <hyperlink ref="B3" r:id="rId2" display="http://www.quantumonline.com/debttable.cfm?SortColumn=Company&amp;Sortorder=ASC"/>
    <hyperlink ref="C3" r:id="rId3" display="http://www.quantumonline.com/debttable.cfm?SortColumn=Exchange&amp;Sortorder=ASC"/>
    <hyperlink ref="C4" r:id="rId4" display="http://www.quantumonline.com/debttable.cfm?SortColumn=Exchange&amp;Sortorder=ASC"/>
    <hyperlink ref="D3" r:id="rId5" display="http://www.quantumonline.com/debttable.cfm?SortColumn=IPODate&amp;Sortorder=DESC"/>
    <hyperlink ref="E3" r:id="rId6" display="http://www.quantumonline.com/debttable.cfm?SortColumn=PfdDivRate&amp;Sortorder=DESC"/>
    <hyperlink ref="F3" r:id="rId7" display="http://www.quantumonline.com/debttable.cfm?SortColumn=PfdLiqPref&amp;Sortorder=DESC"/>
    <hyperlink ref="F4" r:id="rId8" display="http://www.quantumonline.com/debttable.cfm?SortColumn=PfdCallPrice&amp;Sortorder=DESC"/>
    <hyperlink ref="G3" r:id="rId9" display="http://www.quantumonline.com/debttable.cfm?SortColumn=PfdRedempDate&amp;Sortorder=DESC"/>
    <hyperlink ref="H3" r:id="rId10" display="http://www.quantumonline.com/debttable.cfm?SortColumn=MoodysCode&amp;Sortorder=ASC"/>
    <hyperlink ref="H4" r:id="rId11" display="http://www.quantumonline.com/debttable.cfm?SortColumn=MoodysCode&amp;Sortorder=ASC"/>
    <hyperlink ref="J3" r:id="rId12" display="http://www.quantumonline.com/debttable.cfm?SortColumn=PfdDivPayDates&amp;Sortorder=ASC"/>
    <hyperlink ref="A5" r:id="rId13" display="http://www.quantumonline.com/search.cfm?tickersymbol=TVC&amp;sopt=symbol"/>
    <hyperlink ref="C5" r:id="rId14" display="https://www.nyse.com/quote/XNYS:TVC"/>
    <hyperlink ref="C6" r:id="rId15" display="https://www.nyse.com/quote/XNYS:TVC"/>
    <hyperlink ref="I5" r:id="rId16" display="http://www.tva.gov/finance/opportun/pdf/g47584.pdf"/>
    <hyperlink ref="J6" r:id="rId17" display="http://www.marketwatch.com/investing/stock/TVC"/>
    <hyperlink ref="J7" r:id="rId18" display="http://finance.yahoo.com/q?s=TVC"/>
    <hyperlink ref="A8" r:id="rId19" display="http://www.quantumonline.com/search.cfm?tickersymbol=TVE&amp;sopt=symbol"/>
    <hyperlink ref="C8" r:id="rId20" display="https://www.nyse.com/quote/XNYS:TVE"/>
    <hyperlink ref="C9" r:id="rId21" display="https://www.nyse.com/quote/XNYS:TVE"/>
    <hyperlink ref="I8" r:id="rId22" display="http://www.tva.gov/finance/opportun/pdf/g53944.pdf"/>
    <hyperlink ref="J9" r:id="rId23" display="http://www.marketwatch.com/investing/stock/TVE"/>
    <hyperlink ref="J10" r:id="rId24" display="http://finance.yahoo.com/q?s=TVE"/>
    <hyperlink ref="A11" r:id="rId25" display="http://www.quantumonline.com/search.cfm?tickersymbol=GEB&amp;sopt=symbol"/>
    <hyperlink ref="C11" r:id="rId26" display="https://www.nyse.com/quote/XNYS:GEB"/>
    <hyperlink ref="C12" r:id="rId27" display="https://www.nyse.com/quote/XNYS:GEB"/>
    <hyperlink ref="I11" r:id="rId28" display="http://www.sec.gov/Archives/edgar/data/40554/000093041312005591/c71193_424b2.htm"/>
    <hyperlink ref="J12" r:id="rId29" display="http://www.marketwatch.com/investing/stock/GEB"/>
    <hyperlink ref="J13" r:id="rId30" display="http://finance.yahoo.com/q?s=GEB"/>
    <hyperlink ref="A14" r:id="rId31" display="http://www.quantumonline.com/search.cfm?tickersymbol=GEH&amp;sopt=symbol"/>
    <hyperlink ref="C14" r:id="rId32" display="https://www.nyse.com/quote/XNYS:GEH"/>
    <hyperlink ref="C15" r:id="rId33" display="https://www.nyse.com/quote/XNYS:GEH"/>
    <hyperlink ref="I14" r:id="rId34" display="http://www.sec.gov/Archives/edgar/data/40554/000093041313000336/c72308_424b2.htm"/>
    <hyperlink ref="J15" r:id="rId35" display="http://www.marketwatch.com/investing/stock/GEH"/>
    <hyperlink ref="J16" r:id="rId36" display="http://finance.yahoo.com/q?s=GEH"/>
    <hyperlink ref="A17" r:id="rId37" display="http://www.quantumonline.com/search.cfm?tickersymbol=GEK&amp;sopt=symbol"/>
    <hyperlink ref="C17" r:id="rId38" display="https://www.nyse.com/quote/XNYS:GEK"/>
    <hyperlink ref="C18" r:id="rId39" display="https://www.nyse.com/quote/XNYS:GEK"/>
    <hyperlink ref="I17" r:id="rId40" display="http://www.sec.gov/Archives/edgar/data/40554/000093041313002894/c73747_424b2.htm"/>
    <hyperlink ref="J18" r:id="rId41" display="http://www.marketwatch.com/investing/stock/GEK"/>
    <hyperlink ref="J19" r:id="rId42" display="http://finance.yahoo.com/q?s=GEK"/>
    <hyperlink ref="A20" r:id="rId43" display="http://www.quantumonline.com/search.cfm?tickersymbol=ELA&amp;sopt=symbol"/>
    <hyperlink ref="C20" r:id="rId44" display="https://www.nyse.com/quote/XNYS:ELA"/>
    <hyperlink ref="C21" r:id="rId45" display="https://www.nyse.com/quote/XNYS:ELA"/>
    <hyperlink ref="I20" r:id="rId46" display="http://www.sec.gov/Archives/edgar/data/1348952/000006598410000235/h77499.htm"/>
    <hyperlink ref="J21" r:id="rId47" display="http://www.marketwatch.com/investing/stock/ELA"/>
    <hyperlink ref="J22" r:id="rId48" display="http://finance.yahoo.com/q?s=ELA"/>
    <hyperlink ref="A23" r:id="rId49" display="http://www.quantumonline.com/search.cfm?tickersymbol=ELB&amp;sopt=symbol"/>
    <hyperlink ref="C23" r:id="rId50" display="https://www.nyse.com/quote/XNYS:ELB"/>
    <hyperlink ref="C24" r:id="rId51" display="https://www.nyse.com/quote/XNYS:ELB"/>
    <hyperlink ref="I23" r:id="rId52" display="http://www.sec.gov/Archives/edgar/data/1348952/000006598410000062/entergy.htm"/>
    <hyperlink ref="J24" r:id="rId53" display="http://www.marketwatch.com/investing/stock/ELB"/>
    <hyperlink ref="J25" r:id="rId54" display="http://finance.yahoo.com/q?s=ELB"/>
    <hyperlink ref="A26" r:id="rId55" display="http://www.quantumonline.com/search.cfm?tickersymbol=ELJ&amp;sopt=symbol"/>
    <hyperlink ref="C26" r:id="rId56" display="https://www.nyse.com/quote/XNYS:ELJ"/>
    <hyperlink ref="C27" r:id="rId57" display="https://www.nyse.com/quote/XNYS:ELJ"/>
    <hyperlink ref="I26" r:id="rId58" display="http://www.sec.gov/Archives/edgar/data/1348952/000006598412000140/d368812d424b2.htm"/>
    <hyperlink ref="J27" r:id="rId59" display="http://www.marketwatch.com/investing/stock/ELJ"/>
    <hyperlink ref="J28" r:id="rId60" display="http://finance.yahoo.com/q?s=ELJ"/>
    <hyperlink ref="A29" r:id="rId61" display="http://www.quantumonline.com/search.cfm?tickersymbol=LYG-A&amp;sopt=symbol"/>
    <hyperlink ref="C29" r:id="rId62" display="https://www.nyse.com/quote/XNYS:LYGpA"/>
    <hyperlink ref="C30" r:id="rId63" display="https://www.nyse.com/quote/XNYS:LYGpA"/>
    <hyperlink ref="I29" r:id="rId64" display="http://www.sec.gov/Archives/edgar/data/1160106/000093041310003791/c62036_424b2.htm"/>
    <hyperlink ref="J30" r:id="rId65" display="http://www.marketwatch.com/investing/stock/LYG.PA"/>
    <hyperlink ref="J31" r:id="rId66" display="http://finance.yahoo.com/q?s=LYG-PA"/>
    <hyperlink ref="A32" r:id="rId67" display="http://www.quantumonline.com/search.cfm?tickersymbol=ELU&amp;sopt=symbol"/>
    <hyperlink ref="C32" r:id="rId68" display="https://www.nyse.com/quote/XNYS:ELU"/>
    <hyperlink ref="C33" r:id="rId69" display="https://www.nyse.com/quote/XNYS:ELU"/>
    <hyperlink ref="I32" r:id="rId70" display="http://www.sec.gov/Archives/edgar/data/1348952/000006598413000093/d531614d424b3.htm"/>
    <hyperlink ref="J33" r:id="rId71" display="http://www.marketwatch.com/investing/stock/ELU"/>
    <hyperlink ref="J34" r:id="rId72" display="http://finance.yahoo.com/q?s=ELU"/>
    <hyperlink ref="A35" r:id="rId73" display="http://www.quantumonline.com/search.cfm?tickersymbol=EMQ&amp;sopt=symbol"/>
    <hyperlink ref="C35" r:id="rId74" display="https://www.nyse.com/quote/XNYS:EMQ"/>
    <hyperlink ref="C36" r:id="rId75" display="https://www.nyse.com/quote/XNYS:EMQ"/>
    <hyperlink ref="I35" r:id="rId76" display="http://www.sec.gov/Archives/edgar/data/66901/0000065984-02-000208.txt"/>
    <hyperlink ref="J36" r:id="rId77" display="http://www.marketwatch.com/investing/stock/EMQ"/>
    <hyperlink ref="J37" r:id="rId78" display="http://finance.yahoo.com/q?s=EMQ"/>
    <hyperlink ref="A38" r:id="rId79" display="http://www.quantumonline.com/search.cfm?tickersymbol=EMZ&amp;sopt=symbol"/>
    <hyperlink ref="C38" r:id="rId80" display="https://www.nyse.com/quote/XNYS:EMZ"/>
    <hyperlink ref="C39" r:id="rId81" display="https://www.nyse.com/quote/XNYS:EMZ"/>
    <hyperlink ref="I38" r:id="rId82" display="http://www.sec.gov/Archives/edgar/data/66901/000006598411000069/a01911.htm"/>
    <hyperlink ref="J39" r:id="rId83" display="http://www.marketwatch.com/investing/stock/EMZ"/>
    <hyperlink ref="J40" r:id="rId84" display="http://finance.yahoo.com/q?s=EMZ"/>
    <hyperlink ref="A41" r:id="rId85" display="http://www.quantumonline.com/search.cfm?tickersymbol=EAA&amp;sopt=symbol"/>
    <hyperlink ref="C41" r:id="rId86" display="https://www.nyse.com/quote/XNYS:EAA"/>
    <hyperlink ref="C42" r:id="rId87" display="https://www.nyse.com/quote/XNYS:EAA"/>
    <hyperlink ref="I41" r:id="rId88" display="http://www.sec.gov/Archives/edgar/data/7323/000006598410000203/h76557.htm"/>
    <hyperlink ref="J42" r:id="rId89" display="http://www.marketwatch.com/investing/stock/EAA"/>
    <hyperlink ref="J43" r:id="rId90" display="http://finance.yahoo.com/q?s=EAA"/>
    <hyperlink ref="A44" r:id="rId91" display="http://www.quantumonline.com/search.cfm?tickersymbol=EAE&amp;sopt=symbol"/>
    <hyperlink ref="C44" r:id="rId92" display="https://www.nyse.com/quote/XNYS:EAE"/>
    <hyperlink ref="C45" r:id="rId93" display="https://www.nyse.com/quote/XNYS:EAE"/>
    <hyperlink ref="I44" r:id="rId94" display="http://www.sec.gov/Archives/edgar/data/7323/000006598413000112/d536104d424b2.htm"/>
    <hyperlink ref="J45" r:id="rId95" display="http://www.marketwatch.com/investing/stock/EAE"/>
    <hyperlink ref="J46" r:id="rId96" display="http://finance.yahoo.com/q?s=EAE"/>
    <hyperlink ref="A47" r:id="rId97" display="http://www.quantumonline.com/search.cfm?tickersymbol=EFM&amp;sopt=symbol"/>
    <hyperlink ref="C47" r:id="rId98" display="https://www.nyse.com/quote/XNYS:EFM"/>
    <hyperlink ref="C48" r:id="rId99" display="https://www.nyse.com/quote/XNYS:EFM"/>
    <hyperlink ref="I47" r:id="rId100" display="http://www.sec.gov/Archives/edgar/data/66901/000006598410000079/d424b2.htm"/>
    <hyperlink ref="J48" r:id="rId101" display="http://www.marketwatch.com/investing/stock/EFM"/>
    <hyperlink ref="J49" r:id="rId102" display="http://finance.yahoo.com/q?s=EFM"/>
    <hyperlink ref="A50" r:id="rId103" display="http://www.quantumonline.com/search.cfm?tickersymbol=CCV&amp;sopt=symbol"/>
    <hyperlink ref="C50" r:id="rId104" display="https://www.nyse.com/quote/XNYS:CCV"/>
    <hyperlink ref="C51" r:id="rId105" display="https://www.nyse.com/quote/XNYS:CCV"/>
    <hyperlink ref="I50" r:id="rId106" display="http://www.sec.gov/Archives/edgar/data/1166691/000119312512487836/d440628d424b2.htm"/>
    <hyperlink ref="J51" r:id="rId107" display="http://www.marketwatch.com/investing/stock/CCV"/>
    <hyperlink ref="J52" r:id="rId108" display="http://finance.yahoo.com/q?s=CCV"/>
    <hyperlink ref="A53" r:id="rId109" display="http://www.quantumonline.com/search.cfm?tickersymbol=DTQ&amp;sopt=symbol"/>
    <hyperlink ref="C53" r:id="rId110" display="https://www.nyse.com/quote/XNYS:DTQ"/>
    <hyperlink ref="C54" r:id="rId111" display="https://www.nyse.com/quote/XNYS:DTQ"/>
    <hyperlink ref="I53" r:id="rId112" display="http://www.sec.gov/Archives/edgar/data/936340/000119312512404288/d415349d424b2.htm"/>
    <hyperlink ref="J54" r:id="rId113" display="http://www.marketwatch.com/investing/stock/DTQ"/>
    <hyperlink ref="J55" r:id="rId114" display="http://finance.yahoo.com/q?s=DTQ"/>
    <hyperlink ref="A56" r:id="rId115" display="http://www.quantumonline.com/search.cfm?tickersymbol=DTZ&amp;sopt=symbol"/>
    <hyperlink ref="C56" r:id="rId116" display="https://www.nyse.com/quote/XNYS:DTZ"/>
    <hyperlink ref="C57" r:id="rId117" display="https://www.nyse.com/quote/XNYS:DTZ"/>
    <hyperlink ref="I56" r:id="rId118" display="http://www.sec.gov/Archives/edgar/data/936340/000119312511324670/d260952d424b2.htm"/>
    <hyperlink ref="J57" r:id="rId119" display="http://www.marketwatch.com/investing/stock/DTZ"/>
    <hyperlink ref="J58" r:id="rId120" display="http://finance.yahoo.com/q?s=DTZ"/>
    <hyperlink ref="A59" r:id="rId121" display="http://www.quantumonline.com/search.cfm?tickersymbol=DUKH&amp;sopt=symbol"/>
    <hyperlink ref="C59" r:id="rId122" display="https://www.nyse.com/quote/XNYS:DUKH"/>
    <hyperlink ref="C60" r:id="rId123" display="https://www.nyse.com/quote/XNYS:DUKH"/>
    <hyperlink ref="I59" r:id="rId124" display="http://www.sec.gov/Archives/edgar/data/1326160/000104746913000149/a2212334z424b5.htm"/>
    <hyperlink ref="J60" r:id="rId125" display="http://www.marketwatch.com/investing/stock/DUKH"/>
    <hyperlink ref="J61" r:id="rId126" display="http://finance.yahoo.com/q?s=DUKH"/>
    <hyperlink ref="A62" r:id="rId127" display="http://www.quantumonline.com/search.cfm?tickersymbol=ALL-B&amp;sopt=symbol"/>
    <hyperlink ref="C62" r:id="rId128" display="https://www.nyse.com/quote/XNYS:ALLpB"/>
    <hyperlink ref="C63" r:id="rId129" display="https://www.nyse.com/quote/XNYS:ALLpB"/>
    <hyperlink ref="I62" r:id="rId130" display="http://www.sec.gov/Archives/edgar/data/899051/000104746913000048/a2212216z424b5.htm"/>
    <hyperlink ref="J63" r:id="rId131" display="http://www.marketwatch.com/investing/stock/ALL.PB"/>
    <hyperlink ref="J64" r:id="rId132" display="http://finance.yahoo.com/q?s=ALL-PB"/>
  </hyperlinks>
  <printOptions gridLines="1"/>
  <pageMargins left="0.7" right="0.7" top="0.75" bottom="0.75" header="0.3" footer="0.3"/>
  <pageSetup orientation="portrait" verticalDpi="4" r:id="rId13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K172"/>
  <sheetViews>
    <sheetView topLeftCell="A25" zoomScale="70" zoomScaleNormal="70" workbookViewId="0">
      <selection activeCell="I11" sqref="I11:I13"/>
    </sheetView>
  </sheetViews>
  <sheetFormatPr defaultColWidth="8.7109375" defaultRowHeight="12.75" x14ac:dyDescent="0.2"/>
  <cols>
    <col min="1" max="1" width="11.42578125" style="125" bestFit="1" customWidth="1"/>
    <col min="2" max="2" width="28.28515625" style="84" customWidth="1"/>
    <col min="3" max="3" width="8.5703125" style="84" bestFit="1" customWidth="1"/>
    <col min="4" max="4" width="10" style="84" bestFit="1" customWidth="1"/>
    <col min="5" max="5" width="9.28515625" style="84" bestFit="1" customWidth="1"/>
    <col min="6" max="6" width="9.42578125" style="84" bestFit="1" customWidth="1"/>
    <col min="7" max="7" width="12.42578125" style="84" bestFit="1" customWidth="1"/>
    <col min="8" max="8" width="11.5703125" style="84" bestFit="1" customWidth="1"/>
    <col min="9" max="9" width="4.85546875" style="84" bestFit="1" customWidth="1"/>
    <col min="10" max="10" width="13.5703125" style="84" bestFit="1" customWidth="1"/>
    <col min="11" max="11" width="22.7109375" style="84" bestFit="1" customWidth="1"/>
    <col min="12" max="16384" width="8.7109375" style="84"/>
  </cols>
  <sheetData>
    <row r="1" spans="1:11" ht="18" x14ac:dyDescent="0.25">
      <c r="A1" s="230" t="s">
        <v>158</v>
      </c>
      <c r="B1" s="230"/>
      <c r="C1" s="230"/>
      <c r="D1" s="230"/>
      <c r="E1" s="230"/>
      <c r="F1" s="230"/>
      <c r="G1" s="230"/>
      <c r="H1" s="230"/>
      <c r="I1" s="230"/>
      <c r="J1" s="230"/>
      <c r="K1" s="230"/>
    </row>
    <row r="2" spans="1:11" ht="17.45" customHeight="1" x14ac:dyDescent="0.2">
      <c r="A2" s="253" t="s">
        <v>300</v>
      </c>
      <c r="B2" s="254"/>
      <c r="C2" s="254"/>
      <c r="D2" s="254"/>
      <c r="E2" s="254"/>
      <c r="F2" s="254"/>
      <c r="G2" s="254"/>
      <c r="H2" s="254"/>
      <c r="I2" s="254"/>
      <c r="J2" s="254"/>
      <c r="K2" s="255"/>
    </row>
    <row r="3" spans="1:11" ht="24.95" customHeight="1" x14ac:dyDescent="0.2">
      <c r="A3" s="111" t="s">
        <v>159</v>
      </c>
      <c r="B3" s="256" t="s">
        <v>161</v>
      </c>
      <c r="C3" s="111" t="s">
        <v>162</v>
      </c>
      <c r="D3" s="256" t="s">
        <v>164</v>
      </c>
      <c r="E3" s="111" t="s">
        <v>165</v>
      </c>
      <c r="F3" s="111" t="s">
        <v>167</v>
      </c>
      <c r="G3" s="111" t="s">
        <v>169</v>
      </c>
      <c r="H3" s="111" t="s">
        <v>171</v>
      </c>
      <c r="I3" s="248" t="s">
        <v>173</v>
      </c>
      <c r="J3" s="248" t="s">
        <v>174</v>
      </c>
      <c r="K3" s="256" t="s">
        <v>175</v>
      </c>
    </row>
    <row r="4" spans="1:11" ht="25.5" x14ac:dyDescent="0.2">
      <c r="A4" s="112" t="s">
        <v>160</v>
      </c>
      <c r="B4" s="257"/>
      <c r="C4" s="113" t="s">
        <v>163</v>
      </c>
      <c r="D4" s="257"/>
      <c r="E4" s="112" t="s">
        <v>166</v>
      </c>
      <c r="F4" s="113" t="s">
        <v>168</v>
      </c>
      <c r="G4" s="112" t="s">
        <v>170</v>
      </c>
      <c r="H4" s="113" t="s">
        <v>172</v>
      </c>
      <c r="I4" s="249"/>
      <c r="J4" s="249"/>
      <c r="K4" s="257"/>
    </row>
    <row r="5" spans="1:11" ht="24.95" customHeight="1" x14ac:dyDescent="0.2">
      <c r="A5" s="114" t="s">
        <v>298</v>
      </c>
      <c r="B5" s="237" t="s">
        <v>299</v>
      </c>
      <c r="C5" s="114" t="s">
        <v>176</v>
      </c>
      <c r="D5" s="240">
        <v>35832</v>
      </c>
      <c r="E5" s="118" t="s">
        <v>295</v>
      </c>
      <c r="F5" s="118" t="s">
        <v>178</v>
      </c>
      <c r="G5" s="118" t="s">
        <v>296</v>
      </c>
      <c r="H5" s="120" t="s">
        <v>297</v>
      </c>
      <c r="I5" s="234" t="s">
        <v>182</v>
      </c>
      <c r="J5" s="250" t="s">
        <v>183</v>
      </c>
      <c r="K5" s="121" t="s">
        <v>203</v>
      </c>
    </row>
    <row r="6" spans="1:11" x14ac:dyDescent="0.2">
      <c r="A6" s="115">
        <v>880591300</v>
      </c>
      <c r="B6" s="238"/>
      <c r="C6" s="117" t="s">
        <v>177</v>
      </c>
      <c r="D6" s="241"/>
      <c r="E6" s="115" t="s">
        <v>291</v>
      </c>
      <c r="F6" s="115" t="s">
        <v>291</v>
      </c>
      <c r="G6" s="124">
        <v>46758</v>
      </c>
      <c r="H6" s="115" t="s">
        <v>181</v>
      </c>
      <c r="I6" s="235"/>
      <c r="J6" s="251"/>
      <c r="K6" s="117" t="s">
        <v>184</v>
      </c>
    </row>
    <row r="7" spans="1:11" ht="25.5" x14ac:dyDescent="0.2">
      <c r="A7" s="116"/>
      <c r="B7" s="239"/>
      <c r="C7" s="116"/>
      <c r="D7" s="242"/>
      <c r="E7" s="116"/>
      <c r="F7" s="116"/>
      <c r="G7" s="116"/>
      <c r="H7" s="116"/>
      <c r="I7" s="236"/>
      <c r="J7" s="252"/>
      <c r="K7" s="122" t="s">
        <v>185</v>
      </c>
    </row>
    <row r="8" spans="1:11" ht="26.1" customHeight="1" x14ac:dyDescent="0.2">
      <c r="A8" s="114" t="s">
        <v>292</v>
      </c>
      <c r="B8" s="237" t="s">
        <v>293</v>
      </c>
      <c r="C8" s="114" t="s">
        <v>176</v>
      </c>
      <c r="D8" s="234" t="s">
        <v>294</v>
      </c>
      <c r="E8" s="118" t="s">
        <v>295</v>
      </c>
      <c r="F8" s="118" t="s">
        <v>178</v>
      </c>
      <c r="G8" s="118" t="s">
        <v>296</v>
      </c>
      <c r="H8" s="120" t="s">
        <v>297</v>
      </c>
      <c r="I8" s="234" t="s">
        <v>182</v>
      </c>
      <c r="J8" s="250" t="s">
        <v>183</v>
      </c>
      <c r="K8" s="121" t="s">
        <v>202</v>
      </c>
    </row>
    <row r="9" spans="1:11" x14ac:dyDescent="0.2">
      <c r="A9" s="115">
        <v>880591409</v>
      </c>
      <c r="B9" s="238"/>
      <c r="C9" s="117" t="s">
        <v>177</v>
      </c>
      <c r="D9" s="235"/>
      <c r="E9" s="115" t="s">
        <v>291</v>
      </c>
      <c r="F9" s="115" t="s">
        <v>291</v>
      </c>
      <c r="G9" s="124">
        <v>47123</v>
      </c>
      <c r="H9" s="115" t="s">
        <v>181</v>
      </c>
      <c r="I9" s="235"/>
      <c r="J9" s="251"/>
      <c r="K9" s="117" t="s">
        <v>184</v>
      </c>
    </row>
    <row r="10" spans="1:11" ht="25.5" x14ac:dyDescent="0.2">
      <c r="A10" s="116"/>
      <c r="B10" s="239"/>
      <c r="C10" s="116"/>
      <c r="D10" s="236"/>
      <c r="E10" s="116"/>
      <c r="F10" s="116"/>
      <c r="G10" s="116"/>
      <c r="H10" s="116"/>
      <c r="I10" s="236"/>
      <c r="J10" s="252"/>
      <c r="K10" s="122" t="s">
        <v>185</v>
      </c>
    </row>
    <row r="11" spans="1:11" ht="26.1" customHeight="1" x14ac:dyDescent="0.2">
      <c r="A11" s="114" t="s">
        <v>284</v>
      </c>
      <c r="B11" s="237" t="s">
        <v>285</v>
      </c>
      <c r="C11" s="114" t="s">
        <v>176</v>
      </c>
      <c r="D11" s="240">
        <v>40949</v>
      </c>
      <c r="E11" s="119">
        <v>4.8800000000000003E-2</v>
      </c>
      <c r="F11" s="118" t="s">
        <v>178</v>
      </c>
      <c r="G11" s="118" t="s">
        <v>198</v>
      </c>
      <c r="H11" s="120" t="s">
        <v>275</v>
      </c>
      <c r="I11" s="234" t="s">
        <v>182</v>
      </c>
      <c r="J11" s="250" t="s">
        <v>183</v>
      </c>
      <c r="K11" s="121" t="s">
        <v>188</v>
      </c>
    </row>
    <row r="12" spans="1:11" x14ac:dyDescent="0.2">
      <c r="A12" s="115">
        <v>369622428</v>
      </c>
      <c r="B12" s="238"/>
      <c r="C12" s="117" t="s">
        <v>177</v>
      </c>
      <c r="D12" s="241"/>
      <c r="E12" s="115" t="s">
        <v>280</v>
      </c>
      <c r="F12" s="115" t="s">
        <v>179</v>
      </c>
      <c r="G12" s="115" t="s">
        <v>286</v>
      </c>
      <c r="H12" s="115" t="s">
        <v>187</v>
      </c>
      <c r="I12" s="235"/>
      <c r="J12" s="251"/>
      <c r="K12" s="117" t="s">
        <v>184</v>
      </c>
    </row>
    <row r="13" spans="1:11" ht="25.5" x14ac:dyDescent="0.2">
      <c r="A13" s="116"/>
      <c r="B13" s="239"/>
      <c r="C13" s="116"/>
      <c r="D13" s="242"/>
      <c r="E13" s="116"/>
      <c r="F13" s="116"/>
      <c r="G13" s="116"/>
      <c r="H13" s="116"/>
      <c r="I13" s="236"/>
      <c r="J13" s="252"/>
      <c r="K13" s="122" t="s">
        <v>185</v>
      </c>
    </row>
    <row r="14" spans="1:11" ht="26.1" customHeight="1" x14ac:dyDescent="0.2">
      <c r="A14" s="114" t="s">
        <v>277</v>
      </c>
      <c r="B14" s="237" t="s">
        <v>278</v>
      </c>
      <c r="C14" s="114" t="s">
        <v>176</v>
      </c>
      <c r="D14" s="234" t="s">
        <v>279</v>
      </c>
      <c r="E14" s="119">
        <v>4.8800000000000003E-2</v>
      </c>
      <c r="F14" s="118" t="s">
        <v>178</v>
      </c>
      <c r="G14" s="118" t="s">
        <v>281</v>
      </c>
      <c r="H14" s="120" t="s">
        <v>275</v>
      </c>
      <c r="I14" s="234" t="s">
        <v>182</v>
      </c>
      <c r="J14" s="250" t="s">
        <v>183</v>
      </c>
      <c r="K14" s="121" t="s">
        <v>283</v>
      </c>
    </row>
    <row r="15" spans="1:11" x14ac:dyDescent="0.2">
      <c r="A15" s="115">
        <v>369622410</v>
      </c>
      <c r="B15" s="238"/>
      <c r="C15" s="117" t="s">
        <v>177</v>
      </c>
      <c r="D15" s="235"/>
      <c r="E15" s="115" t="s">
        <v>280</v>
      </c>
      <c r="F15" s="115" t="s">
        <v>179</v>
      </c>
      <c r="G15" s="115" t="s">
        <v>282</v>
      </c>
      <c r="H15" s="115" t="s">
        <v>187</v>
      </c>
      <c r="I15" s="235"/>
      <c r="J15" s="251"/>
      <c r="K15" s="117" t="s">
        <v>184</v>
      </c>
    </row>
    <row r="16" spans="1:11" ht="25.5" x14ac:dyDescent="0.2">
      <c r="A16" s="116"/>
      <c r="B16" s="239"/>
      <c r="C16" s="116"/>
      <c r="D16" s="236"/>
      <c r="E16" s="116"/>
      <c r="F16" s="116"/>
      <c r="G16" s="116"/>
      <c r="H16" s="116"/>
      <c r="I16" s="236"/>
      <c r="J16" s="252"/>
      <c r="K16" s="122" t="s">
        <v>185</v>
      </c>
    </row>
    <row r="17" spans="1:11" ht="24.95" customHeight="1" x14ac:dyDescent="0.2">
      <c r="A17" s="114" t="s">
        <v>271</v>
      </c>
      <c r="B17" s="237" t="s">
        <v>272</v>
      </c>
      <c r="C17" s="114" t="s">
        <v>176</v>
      </c>
      <c r="D17" s="240">
        <v>41522</v>
      </c>
      <c r="E17" s="119">
        <v>4.7E-2</v>
      </c>
      <c r="F17" s="118" t="s">
        <v>178</v>
      </c>
      <c r="G17" s="118" t="s">
        <v>273</v>
      </c>
      <c r="H17" s="120" t="s">
        <v>275</v>
      </c>
      <c r="I17" s="234" t="s">
        <v>182</v>
      </c>
      <c r="J17" s="250" t="s">
        <v>183</v>
      </c>
      <c r="K17" s="121" t="s">
        <v>276</v>
      </c>
    </row>
    <row r="18" spans="1:11" x14ac:dyDescent="0.2">
      <c r="A18" s="115">
        <v>369622394</v>
      </c>
      <c r="B18" s="238"/>
      <c r="C18" s="117" t="s">
        <v>177</v>
      </c>
      <c r="D18" s="241"/>
      <c r="E18" s="115" t="s">
        <v>256</v>
      </c>
      <c r="F18" s="115" t="s">
        <v>179</v>
      </c>
      <c r="G18" s="115" t="s">
        <v>274</v>
      </c>
      <c r="H18" s="115" t="s">
        <v>187</v>
      </c>
      <c r="I18" s="235"/>
      <c r="J18" s="251"/>
      <c r="K18" s="117" t="s">
        <v>184</v>
      </c>
    </row>
    <row r="19" spans="1:11" ht="25.5" x14ac:dyDescent="0.2">
      <c r="A19" s="116"/>
      <c r="B19" s="239"/>
      <c r="C19" s="116"/>
      <c r="D19" s="242"/>
      <c r="E19" s="116"/>
      <c r="F19" s="116"/>
      <c r="G19" s="116"/>
      <c r="H19" s="116"/>
      <c r="I19" s="236"/>
      <c r="J19" s="252"/>
      <c r="K19" s="122" t="s">
        <v>185</v>
      </c>
    </row>
    <row r="20" spans="1:11" x14ac:dyDescent="0.2">
      <c r="A20" s="114" t="s">
        <v>239</v>
      </c>
      <c r="B20" s="237" t="s">
        <v>241</v>
      </c>
      <c r="C20" s="114" t="s">
        <v>176</v>
      </c>
      <c r="D20" s="234" t="s">
        <v>242</v>
      </c>
      <c r="E20" s="119">
        <v>5.8799999999999998E-2</v>
      </c>
      <c r="F20" s="118" t="s">
        <v>178</v>
      </c>
      <c r="G20" s="118" t="s">
        <v>243</v>
      </c>
      <c r="H20" s="120" t="s">
        <v>238</v>
      </c>
      <c r="I20" s="234" t="s">
        <v>182</v>
      </c>
      <c r="J20" s="250" t="s">
        <v>183</v>
      </c>
      <c r="K20" s="121" t="s">
        <v>189</v>
      </c>
    </row>
    <row r="21" spans="1:11" ht="24.95" customHeight="1" x14ac:dyDescent="0.2">
      <c r="A21" s="115" t="s">
        <v>240</v>
      </c>
      <c r="B21" s="238"/>
      <c r="C21" s="117" t="s">
        <v>177</v>
      </c>
      <c r="D21" s="235"/>
      <c r="E21" s="115" t="s">
        <v>196</v>
      </c>
      <c r="F21" s="115" t="s">
        <v>179</v>
      </c>
      <c r="G21" s="115" t="s">
        <v>244</v>
      </c>
      <c r="H21" s="115" t="s">
        <v>181</v>
      </c>
      <c r="I21" s="235"/>
      <c r="J21" s="251"/>
      <c r="K21" s="117" t="s">
        <v>184</v>
      </c>
    </row>
    <row r="22" spans="1:11" ht="25.5" x14ac:dyDescent="0.2">
      <c r="A22" s="116"/>
      <c r="B22" s="239"/>
      <c r="C22" s="116"/>
      <c r="D22" s="236"/>
      <c r="E22" s="116"/>
      <c r="F22" s="116"/>
      <c r="G22" s="116"/>
      <c r="H22" s="116"/>
      <c r="I22" s="236"/>
      <c r="J22" s="252"/>
      <c r="K22" s="122" t="s">
        <v>185</v>
      </c>
    </row>
    <row r="23" spans="1:11" x14ac:dyDescent="0.2">
      <c r="A23" s="114" t="s">
        <v>245</v>
      </c>
      <c r="B23" s="237" t="s">
        <v>247</v>
      </c>
      <c r="C23" s="114" t="s">
        <v>176</v>
      </c>
      <c r="D23" s="234" t="s">
        <v>248</v>
      </c>
      <c r="E23" s="119">
        <v>0.06</v>
      </c>
      <c r="F23" s="118" t="s">
        <v>178</v>
      </c>
      <c r="G23" s="118" t="s">
        <v>250</v>
      </c>
      <c r="H23" s="120" t="s">
        <v>238</v>
      </c>
      <c r="I23" s="234" t="s">
        <v>182</v>
      </c>
      <c r="J23" s="250" t="s">
        <v>183</v>
      </c>
      <c r="K23" s="121" t="s">
        <v>189</v>
      </c>
    </row>
    <row r="24" spans="1:11" x14ac:dyDescent="0.2">
      <c r="A24" s="115" t="s">
        <v>246</v>
      </c>
      <c r="B24" s="238"/>
      <c r="C24" s="117" t="s">
        <v>177</v>
      </c>
      <c r="D24" s="235"/>
      <c r="E24" s="115" t="s">
        <v>249</v>
      </c>
      <c r="F24" s="115" t="s">
        <v>179</v>
      </c>
      <c r="G24" s="115" t="s">
        <v>251</v>
      </c>
      <c r="H24" s="115" t="s">
        <v>181</v>
      </c>
      <c r="I24" s="235"/>
      <c r="J24" s="251"/>
      <c r="K24" s="117" t="s">
        <v>184</v>
      </c>
    </row>
    <row r="25" spans="1:11" ht="26.1" customHeight="1" x14ac:dyDescent="0.2">
      <c r="A25" s="116"/>
      <c r="B25" s="239"/>
      <c r="C25" s="116"/>
      <c r="D25" s="236"/>
      <c r="E25" s="116"/>
      <c r="F25" s="116"/>
      <c r="G25" s="116"/>
      <c r="H25" s="116"/>
      <c r="I25" s="236"/>
      <c r="J25" s="252"/>
      <c r="K25" s="122" t="s">
        <v>185</v>
      </c>
    </row>
    <row r="26" spans="1:11" x14ac:dyDescent="0.2">
      <c r="A26" s="114" t="s">
        <v>234</v>
      </c>
      <c r="B26" s="237" t="s">
        <v>236</v>
      </c>
      <c r="C26" s="114" t="s">
        <v>176</v>
      </c>
      <c r="D26" s="234" t="s">
        <v>237</v>
      </c>
      <c r="E26" s="119">
        <v>5.2499999999999998E-2</v>
      </c>
      <c r="F26" s="118" t="s">
        <v>178</v>
      </c>
      <c r="G26" s="123">
        <v>42742</v>
      </c>
      <c r="H26" s="120" t="s">
        <v>238</v>
      </c>
      <c r="I26" s="234" t="s">
        <v>182</v>
      </c>
      <c r="J26" s="250" t="s">
        <v>183</v>
      </c>
      <c r="K26" s="121" t="s">
        <v>199</v>
      </c>
    </row>
    <row r="27" spans="1:11" x14ac:dyDescent="0.2">
      <c r="A27" s="115" t="s">
        <v>235</v>
      </c>
      <c r="B27" s="238"/>
      <c r="C27" s="117" t="s">
        <v>177</v>
      </c>
      <c r="D27" s="235"/>
      <c r="E27" s="115" t="s">
        <v>186</v>
      </c>
      <c r="F27" s="115" t="s">
        <v>179</v>
      </c>
      <c r="G27" s="124">
        <v>55525</v>
      </c>
      <c r="H27" s="115" t="s">
        <v>181</v>
      </c>
      <c r="I27" s="235"/>
      <c r="J27" s="251"/>
      <c r="K27" s="117" t="s">
        <v>184</v>
      </c>
    </row>
    <row r="28" spans="1:11" ht="26.1" customHeight="1" x14ac:dyDescent="0.2">
      <c r="A28" s="116"/>
      <c r="B28" s="239"/>
      <c r="C28" s="116"/>
      <c r="D28" s="236"/>
      <c r="E28" s="116"/>
      <c r="F28" s="116"/>
      <c r="G28" s="116"/>
      <c r="H28" s="116"/>
      <c r="I28" s="236"/>
      <c r="J28" s="252"/>
      <c r="K28" s="122" t="s">
        <v>185</v>
      </c>
    </row>
    <row r="29" spans="1:11" x14ac:dyDescent="0.2">
      <c r="A29" s="114" t="s">
        <v>287</v>
      </c>
      <c r="B29" s="237" t="s">
        <v>288</v>
      </c>
      <c r="C29" s="114" t="s">
        <v>176</v>
      </c>
      <c r="D29" s="240">
        <v>40216</v>
      </c>
      <c r="E29" s="119">
        <v>7.7499999999999999E-2</v>
      </c>
      <c r="F29" s="118" t="s">
        <v>178</v>
      </c>
      <c r="G29" s="118" t="s">
        <v>289</v>
      </c>
      <c r="H29" s="120" t="s">
        <v>238</v>
      </c>
      <c r="I29" s="234" t="s">
        <v>182</v>
      </c>
      <c r="J29" s="250" t="s">
        <v>183</v>
      </c>
      <c r="K29" s="121" t="s">
        <v>188</v>
      </c>
    </row>
    <row r="30" spans="1:11" x14ac:dyDescent="0.2">
      <c r="A30" s="115">
        <v>539439802</v>
      </c>
      <c r="B30" s="238"/>
      <c r="C30" s="117" t="s">
        <v>177</v>
      </c>
      <c r="D30" s="241"/>
      <c r="E30" s="115" t="s">
        <v>200</v>
      </c>
      <c r="F30" s="115" t="s">
        <v>179</v>
      </c>
      <c r="G30" s="115" t="s">
        <v>290</v>
      </c>
      <c r="H30" s="115" t="s">
        <v>187</v>
      </c>
      <c r="I30" s="235"/>
      <c r="J30" s="251"/>
      <c r="K30" s="117" t="s">
        <v>184</v>
      </c>
    </row>
    <row r="31" spans="1:11" ht="26.1" customHeight="1" x14ac:dyDescent="0.2">
      <c r="A31" s="116"/>
      <c r="B31" s="239"/>
      <c r="C31" s="116"/>
      <c r="D31" s="242"/>
      <c r="E31" s="116"/>
      <c r="F31" s="116"/>
      <c r="G31" s="116"/>
      <c r="H31" s="116"/>
      <c r="I31" s="236"/>
      <c r="J31" s="252"/>
      <c r="K31" s="122" t="s">
        <v>185</v>
      </c>
    </row>
    <row r="32" spans="1:11" x14ac:dyDescent="0.2">
      <c r="A32" s="114" t="s">
        <v>252</v>
      </c>
      <c r="B32" s="237" t="s">
        <v>254</v>
      </c>
      <c r="C32" s="114" t="s">
        <v>176</v>
      </c>
      <c r="D32" s="234" t="s">
        <v>255</v>
      </c>
      <c r="E32" s="119">
        <v>4.7E-2</v>
      </c>
      <c r="F32" s="118" t="s">
        <v>178</v>
      </c>
      <c r="G32" s="123">
        <v>43106</v>
      </c>
      <c r="H32" s="120" t="s">
        <v>212</v>
      </c>
      <c r="I32" s="234" t="s">
        <v>182</v>
      </c>
      <c r="J32" s="250" t="s">
        <v>183</v>
      </c>
      <c r="K32" s="121" t="s">
        <v>203</v>
      </c>
    </row>
    <row r="33" spans="1:11" x14ac:dyDescent="0.2">
      <c r="A33" s="115" t="s">
        <v>253</v>
      </c>
      <c r="B33" s="238"/>
      <c r="C33" s="117" t="s">
        <v>177</v>
      </c>
      <c r="D33" s="235"/>
      <c r="E33" s="115" t="s">
        <v>256</v>
      </c>
      <c r="F33" s="115" t="s">
        <v>179</v>
      </c>
      <c r="G33" s="124">
        <v>59542</v>
      </c>
      <c r="H33" s="115" t="s">
        <v>187</v>
      </c>
      <c r="I33" s="235"/>
      <c r="J33" s="251"/>
      <c r="K33" s="117" t="s">
        <v>184</v>
      </c>
    </row>
    <row r="34" spans="1:11" ht="26.1" customHeight="1" x14ac:dyDescent="0.2">
      <c r="A34" s="116"/>
      <c r="B34" s="239"/>
      <c r="C34" s="116"/>
      <c r="D34" s="236"/>
      <c r="E34" s="116"/>
      <c r="F34" s="116"/>
      <c r="G34" s="116"/>
      <c r="H34" s="116"/>
      <c r="I34" s="236"/>
      <c r="J34" s="252"/>
      <c r="K34" s="122" t="s">
        <v>185</v>
      </c>
    </row>
    <row r="35" spans="1:11" x14ac:dyDescent="0.2">
      <c r="A35" s="114" t="s">
        <v>257</v>
      </c>
      <c r="B35" s="237" t="s">
        <v>259</v>
      </c>
      <c r="C35" s="114" t="s">
        <v>176</v>
      </c>
      <c r="D35" s="234" t="s">
        <v>260</v>
      </c>
      <c r="E35" s="119">
        <v>0.06</v>
      </c>
      <c r="F35" s="118" t="s">
        <v>178</v>
      </c>
      <c r="G35" s="123">
        <v>39093</v>
      </c>
      <c r="H35" s="120" t="s">
        <v>212</v>
      </c>
      <c r="I35" s="234" t="s">
        <v>182</v>
      </c>
      <c r="J35" s="250" t="s">
        <v>183</v>
      </c>
      <c r="K35" s="121" t="s">
        <v>202</v>
      </c>
    </row>
    <row r="36" spans="1:11" x14ac:dyDescent="0.2">
      <c r="A36" s="115" t="s">
        <v>258</v>
      </c>
      <c r="B36" s="238"/>
      <c r="C36" s="117" t="s">
        <v>177</v>
      </c>
      <c r="D36" s="235"/>
      <c r="E36" s="115" t="s">
        <v>261</v>
      </c>
      <c r="F36" s="115" t="s">
        <v>179</v>
      </c>
      <c r="G36" s="124">
        <v>48224</v>
      </c>
      <c r="H36" s="115" t="s">
        <v>187</v>
      </c>
      <c r="I36" s="235"/>
      <c r="J36" s="251"/>
      <c r="K36" s="117" t="s">
        <v>184</v>
      </c>
    </row>
    <row r="37" spans="1:11" ht="25.5" x14ac:dyDescent="0.2">
      <c r="A37" s="116"/>
      <c r="B37" s="239"/>
      <c r="C37" s="116"/>
      <c r="D37" s="236"/>
      <c r="E37" s="116"/>
      <c r="F37" s="116"/>
      <c r="G37" s="116"/>
      <c r="H37" s="116"/>
      <c r="I37" s="236"/>
      <c r="J37" s="252"/>
      <c r="K37" s="122" t="s">
        <v>185</v>
      </c>
    </row>
    <row r="38" spans="1:11" ht="24.95" customHeight="1" x14ac:dyDescent="0.2">
      <c r="A38" s="114" t="s">
        <v>262</v>
      </c>
      <c r="B38" s="237" t="s">
        <v>264</v>
      </c>
      <c r="C38" s="114" t="s">
        <v>176</v>
      </c>
      <c r="D38" s="234" t="s">
        <v>265</v>
      </c>
      <c r="E38" s="119">
        <v>0.06</v>
      </c>
      <c r="F38" s="118" t="s">
        <v>178</v>
      </c>
      <c r="G38" s="123">
        <v>42374</v>
      </c>
      <c r="H38" s="120" t="s">
        <v>212</v>
      </c>
      <c r="I38" s="234" t="s">
        <v>182</v>
      </c>
      <c r="J38" s="250" t="s">
        <v>183</v>
      </c>
      <c r="K38" s="121" t="s">
        <v>202</v>
      </c>
    </row>
    <row r="39" spans="1:11" x14ac:dyDescent="0.2">
      <c r="A39" s="115" t="s">
        <v>263</v>
      </c>
      <c r="B39" s="238"/>
      <c r="C39" s="117" t="s">
        <v>177</v>
      </c>
      <c r="D39" s="235"/>
      <c r="E39" s="115" t="s">
        <v>249</v>
      </c>
      <c r="F39" s="115" t="s">
        <v>179</v>
      </c>
      <c r="G39" s="124">
        <v>55158</v>
      </c>
      <c r="H39" s="115" t="s">
        <v>187</v>
      </c>
      <c r="I39" s="235"/>
      <c r="J39" s="251"/>
      <c r="K39" s="117" t="s">
        <v>184</v>
      </c>
    </row>
    <row r="40" spans="1:11" ht="25.5" x14ac:dyDescent="0.2">
      <c r="A40" s="116"/>
      <c r="B40" s="239"/>
      <c r="C40" s="116"/>
      <c r="D40" s="236"/>
      <c r="E40" s="116"/>
      <c r="F40" s="116"/>
      <c r="G40" s="116"/>
      <c r="H40" s="116"/>
      <c r="I40" s="236"/>
      <c r="J40" s="252"/>
      <c r="K40" s="122" t="s">
        <v>185</v>
      </c>
    </row>
    <row r="41" spans="1:11" ht="24.95" customHeight="1" x14ac:dyDescent="0.2">
      <c r="A41" s="114" t="s">
        <v>226</v>
      </c>
      <c r="B41" s="237" t="s">
        <v>228</v>
      </c>
      <c r="C41" s="114" t="s">
        <v>176</v>
      </c>
      <c r="D41" s="240">
        <v>40339</v>
      </c>
      <c r="E41" s="119">
        <v>5.7500000000000002E-2</v>
      </c>
      <c r="F41" s="118" t="s">
        <v>178</v>
      </c>
      <c r="G41" s="123">
        <v>42015</v>
      </c>
      <c r="H41" s="120" t="s">
        <v>212</v>
      </c>
      <c r="I41" s="234" t="s">
        <v>182</v>
      </c>
      <c r="J41" s="250" t="s">
        <v>183</v>
      </c>
      <c r="K41" s="121" t="s">
        <v>202</v>
      </c>
    </row>
    <row r="42" spans="1:11" x14ac:dyDescent="0.2">
      <c r="A42" s="115" t="s">
        <v>227</v>
      </c>
      <c r="B42" s="238"/>
      <c r="C42" s="117" t="s">
        <v>177</v>
      </c>
      <c r="D42" s="241"/>
      <c r="E42" s="115" t="s">
        <v>197</v>
      </c>
      <c r="F42" s="115" t="s">
        <v>179</v>
      </c>
      <c r="G42" s="124">
        <v>51146</v>
      </c>
      <c r="H42" s="115" t="s">
        <v>187</v>
      </c>
      <c r="I42" s="235"/>
      <c r="J42" s="251"/>
      <c r="K42" s="117" t="s">
        <v>184</v>
      </c>
    </row>
    <row r="43" spans="1:11" ht="25.5" x14ac:dyDescent="0.2">
      <c r="A43" s="116"/>
      <c r="B43" s="239"/>
      <c r="C43" s="116"/>
      <c r="D43" s="242"/>
      <c r="E43" s="116"/>
      <c r="F43" s="116"/>
      <c r="G43" s="116"/>
      <c r="H43" s="116"/>
      <c r="I43" s="236"/>
      <c r="J43" s="252"/>
      <c r="K43" s="122" t="s">
        <v>185</v>
      </c>
    </row>
    <row r="44" spans="1:11" ht="24.95" customHeight="1" x14ac:dyDescent="0.2">
      <c r="A44" s="114" t="s">
        <v>229</v>
      </c>
      <c r="B44" s="237" t="s">
        <v>231</v>
      </c>
      <c r="C44" s="114" t="s">
        <v>176</v>
      </c>
      <c r="D44" s="234" t="s">
        <v>232</v>
      </c>
      <c r="E44" s="119">
        <v>4.7500000000000001E-2</v>
      </c>
      <c r="F44" s="118" t="s">
        <v>178</v>
      </c>
      <c r="G44" s="123">
        <v>43106</v>
      </c>
      <c r="H44" s="120" t="s">
        <v>212</v>
      </c>
      <c r="I44" s="234" t="s">
        <v>182</v>
      </c>
      <c r="J44" s="250" t="s">
        <v>183</v>
      </c>
      <c r="K44" s="121" t="s">
        <v>203</v>
      </c>
    </row>
    <row r="45" spans="1:11" x14ac:dyDescent="0.2">
      <c r="A45" s="115" t="s">
        <v>230</v>
      </c>
      <c r="B45" s="238"/>
      <c r="C45" s="117" t="s">
        <v>177</v>
      </c>
      <c r="D45" s="235"/>
      <c r="E45" s="115" t="s">
        <v>233</v>
      </c>
      <c r="F45" s="115" t="s">
        <v>179</v>
      </c>
      <c r="G45" s="124">
        <v>59542</v>
      </c>
      <c r="H45" s="115" t="s">
        <v>187</v>
      </c>
      <c r="I45" s="235"/>
      <c r="J45" s="251"/>
      <c r="K45" s="117" t="s">
        <v>184</v>
      </c>
    </row>
    <row r="46" spans="1:11" ht="25.5" x14ac:dyDescent="0.2">
      <c r="A46" s="116"/>
      <c r="B46" s="239"/>
      <c r="C46" s="116"/>
      <c r="D46" s="236"/>
      <c r="E46" s="116"/>
      <c r="F46" s="116"/>
      <c r="G46" s="116"/>
      <c r="H46" s="116"/>
      <c r="I46" s="236"/>
      <c r="J46" s="252"/>
      <c r="K46" s="122" t="s">
        <v>185</v>
      </c>
    </row>
    <row r="47" spans="1:11" ht="26.1" customHeight="1" x14ac:dyDescent="0.2">
      <c r="A47" s="114" t="s">
        <v>266</v>
      </c>
      <c r="B47" s="237" t="s">
        <v>268</v>
      </c>
      <c r="C47" s="114" t="s">
        <v>176</v>
      </c>
      <c r="D47" s="240">
        <v>40394</v>
      </c>
      <c r="E47" s="119">
        <v>6.2E-2</v>
      </c>
      <c r="F47" s="118" t="s">
        <v>178</v>
      </c>
      <c r="G47" s="118" t="s">
        <v>204</v>
      </c>
      <c r="H47" s="120" t="s">
        <v>212</v>
      </c>
      <c r="I47" s="234" t="s">
        <v>182</v>
      </c>
      <c r="J47" s="250" t="s">
        <v>183</v>
      </c>
      <c r="K47" s="121" t="s">
        <v>188</v>
      </c>
    </row>
    <row r="48" spans="1:11" x14ac:dyDescent="0.2">
      <c r="A48" s="115" t="s">
        <v>267</v>
      </c>
      <c r="B48" s="238"/>
      <c r="C48" s="117" t="s">
        <v>177</v>
      </c>
      <c r="D48" s="241"/>
      <c r="E48" s="115" t="s">
        <v>269</v>
      </c>
      <c r="F48" s="115" t="s">
        <v>179</v>
      </c>
      <c r="G48" s="115" t="s">
        <v>270</v>
      </c>
      <c r="H48" s="115" t="s">
        <v>187</v>
      </c>
      <c r="I48" s="235"/>
      <c r="J48" s="251"/>
      <c r="K48" s="117" t="s">
        <v>184</v>
      </c>
    </row>
    <row r="49" spans="1:11" ht="25.5" x14ac:dyDescent="0.2">
      <c r="A49" s="116"/>
      <c r="B49" s="239"/>
      <c r="C49" s="116"/>
      <c r="D49" s="242"/>
      <c r="E49" s="116"/>
      <c r="F49" s="116"/>
      <c r="G49" s="116"/>
      <c r="H49" s="116"/>
      <c r="I49" s="236"/>
      <c r="J49" s="252"/>
      <c r="K49" s="122" t="s">
        <v>185</v>
      </c>
    </row>
    <row r="50" spans="1:11" ht="26.1" customHeight="1" x14ac:dyDescent="0.2">
      <c r="A50" s="114" t="s">
        <v>205</v>
      </c>
      <c r="B50" s="237" t="s">
        <v>207</v>
      </c>
      <c r="C50" s="114" t="s">
        <v>176</v>
      </c>
      <c r="D50" s="234" t="s">
        <v>208</v>
      </c>
      <c r="E50" s="119">
        <v>0.05</v>
      </c>
      <c r="F50" s="118" t="s">
        <v>178</v>
      </c>
      <c r="G50" s="118" t="s">
        <v>210</v>
      </c>
      <c r="H50" s="120" t="s">
        <v>212</v>
      </c>
      <c r="I50" s="234" t="s">
        <v>182</v>
      </c>
      <c r="J50" s="250" t="s">
        <v>183</v>
      </c>
      <c r="K50" s="121" t="s">
        <v>189</v>
      </c>
    </row>
    <row r="51" spans="1:11" x14ac:dyDescent="0.2">
      <c r="A51" s="115" t="s">
        <v>206</v>
      </c>
      <c r="B51" s="238"/>
      <c r="C51" s="117" t="s">
        <v>177</v>
      </c>
      <c r="D51" s="235"/>
      <c r="E51" s="115" t="s">
        <v>209</v>
      </c>
      <c r="F51" s="115" t="s">
        <v>179</v>
      </c>
      <c r="G51" s="115" t="s">
        <v>211</v>
      </c>
      <c r="H51" s="115" t="s">
        <v>181</v>
      </c>
      <c r="I51" s="235"/>
      <c r="J51" s="251"/>
      <c r="K51" s="117" t="s">
        <v>184</v>
      </c>
    </row>
    <row r="52" spans="1:11" ht="25.5" x14ac:dyDescent="0.2">
      <c r="A52" s="116"/>
      <c r="B52" s="239"/>
      <c r="C52" s="116"/>
      <c r="D52" s="236"/>
      <c r="E52" s="116"/>
      <c r="F52" s="116"/>
      <c r="G52" s="116"/>
      <c r="H52" s="116"/>
      <c r="I52" s="236"/>
      <c r="J52" s="252"/>
      <c r="K52" s="122" t="s">
        <v>185</v>
      </c>
    </row>
    <row r="53" spans="1:11" ht="26.1" customHeight="1" x14ac:dyDescent="0.2">
      <c r="A53" s="114" t="s">
        <v>213</v>
      </c>
      <c r="B53" s="237" t="s">
        <v>214</v>
      </c>
      <c r="C53" s="114" t="s">
        <v>176</v>
      </c>
      <c r="D53" s="234" t="s">
        <v>215</v>
      </c>
      <c r="E53" s="119">
        <v>5.2499999999999998E-2</v>
      </c>
      <c r="F53" s="118" t="s">
        <v>178</v>
      </c>
      <c r="G53" s="123">
        <v>42747</v>
      </c>
      <c r="H53" s="120" t="s">
        <v>216</v>
      </c>
      <c r="I53" s="234" t="s">
        <v>182</v>
      </c>
      <c r="J53" s="250" t="s">
        <v>183</v>
      </c>
      <c r="K53" s="121" t="s">
        <v>203</v>
      </c>
    </row>
    <row r="54" spans="1:11" x14ac:dyDescent="0.2">
      <c r="A54" s="115">
        <v>233331701</v>
      </c>
      <c r="B54" s="238"/>
      <c r="C54" s="117" t="s">
        <v>177</v>
      </c>
      <c r="D54" s="235"/>
      <c r="E54" s="115" t="s">
        <v>186</v>
      </c>
      <c r="F54" s="115" t="s">
        <v>179</v>
      </c>
      <c r="G54" s="124">
        <v>59183</v>
      </c>
      <c r="H54" s="115" t="s">
        <v>187</v>
      </c>
      <c r="I54" s="235"/>
      <c r="J54" s="251"/>
      <c r="K54" s="117" t="s">
        <v>184</v>
      </c>
    </row>
    <row r="55" spans="1:11" ht="25.5" x14ac:dyDescent="0.2">
      <c r="A55" s="116"/>
      <c r="B55" s="239"/>
      <c r="C55" s="116"/>
      <c r="D55" s="236"/>
      <c r="E55" s="116"/>
      <c r="F55" s="116"/>
      <c r="G55" s="116"/>
      <c r="H55" s="116"/>
      <c r="I55" s="236"/>
      <c r="J55" s="252"/>
      <c r="K55" s="122" t="s">
        <v>185</v>
      </c>
    </row>
    <row r="56" spans="1:11" ht="24.95" customHeight="1" x14ac:dyDescent="0.2">
      <c r="A56" s="114" t="s">
        <v>217</v>
      </c>
      <c r="B56" s="237" t="s">
        <v>218</v>
      </c>
      <c r="C56" s="114" t="s">
        <v>176</v>
      </c>
      <c r="D56" s="234" t="s">
        <v>219</v>
      </c>
      <c r="E56" s="119">
        <v>6.5000000000000002E-2</v>
      </c>
      <c r="F56" s="118" t="s">
        <v>178</v>
      </c>
      <c r="G56" s="123">
        <v>42381</v>
      </c>
      <c r="H56" s="120" t="s">
        <v>216</v>
      </c>
      <c r="I56" s="234" t="s">
        <v>182</v>
      </c>
      <c r="J56" s="250" t="s">
        <v>183</v>
      </c>
      <c r="K56" s="121" t="s">
        <v>203</v>
      </c>
    </row>
    <row r="57" spans="1:11" x14ac:dyDescent="0.2">
      <c r="A57" s="115">
        <v>233331602</v>
      </c>
      <c r="B57" s="238"/>
      <c r="C57" s="117" t="s">
        <v>177</v>
      </c>
      <c r="D57" s="235"/>
      <c r="E57" s="115" t="s">
        <v>201</v>
      </c>
      <c r="F57" s="115" t="s">
        <v>179</v>
      </c>
      <c r="G57" s="124">
        <v>58818</v>
      </c>
      <c r="H57" s="115" t="s">
        <v>187</v>
      </c>
      <c r="I57" s="235"/>
      <c r="J57" s="251"/>
      <c r="K57" s="117" t="s">
        <v>184</v>
      </c>
    </row>
    <row r="58" spans="1:11" ht="25.5" x14ac:dyDescent="0.2">
      <c r="A58" s="116"/>
      <c r="B58" s="239"/>
      <c r="C58" s="116"/>
      <c r="D58" s="236"/>
      <c r="E58" s="116"/>
      <c r="F58" s="116"/>
      <c r="G58" s="116"/>
      <c r="H58" s="116"/>
      <c r="I58" s="236"/>
      <c r="J58" s="252"/>
      <c r="K58" s="122" t="s">
        <v>185</v>
      </c>
    </row>
    <row r="59" spans="1:11" ht="18.95" customHeight="1" x14ac:dyDescent="0.2">
      <c r="A59" s="114" t="s">
        <v>220</v>
      </c>
      <c r="B59" s="237" t="s">
        <v>222</v>
      </c>
      <c r="C59" s="114" t="s">
        <v>176</v>
      </c>
      <c r="D59" s="240">
        <v>41548</v>
      </c>
      <c r="E59" s="119">
        <v>5.1299999999999998E-2</v>
      </c>
      <c r="F59" s="118" t="s">
        <v>178</v>
      </c>
      <c r="G59" s="118" t="s">
        <v>224</v>
      </c>
      <c r="H59" s="120" t="s">
        <v>216</v>
      </c>
      <c r="I59" s="234" t="s">
        <v>182</v>
      </c>
      <c r="J59" s="250" t="s">
        <v>183</v>
      </c>
      <c r="K59" s="121" t="s">
        <v>188</v>
      </c>
    </row>
    <row r="60" spans="1:11" x14ac:dyDescent="0.2">
      <c r="A60" s="115" t="s">
        <v>221</v>
      </c>
      <c r="B60" s="238"/>
      <c r="C60" s="117" t="s">
        <v>177</v>
      </c>
      <c r="D60" s="241"/>
      <c r="E60" s="115" t="s">
        <v>223</v>
      </c>
      <c r="F60" s="115" t="s">
        <v>179</v>
      </c>
      <c r="G60" s="115" t="s">
        <v>225</v>
      </c>
      <c r="H60" s="115" t="s">
        <v>181</v>
      </c>
      <c r="I60" s="235"/>
      <c r="J60" s="251"/>
      <c r="K60" s="117" t="s">
        <v>184</v>
      </c>
    </row>
    <row r="61" spans="1:11" ht="25.5" x14ac:dyDescent="0.2">
      <c r="A61" s="116"/>
      <c r="B61" s="239"/>
      <c r="C61" s="116"/>
      <c r="D61" s="242"/>
      <c r="E61" s="116"/>
      <c r="F61" s="116"/>
      <c r="G61" s="116"/>
      <c r="H61" s="116"/>
      <c r="I61" s="236"/>
      <c r="J61" s="252"/>
      <c r="K61" s="122" t="s">
        <v>185</v>
      </c>
    </row>
    <row r="62" spans="1:11" ht="24.95" customHeight="1" x14ac:dyDescent="0.2">
      <c r="A62" s="114" t="s">
        <v>190</v>
      </c>
      <c r="B62" s="237" t="s">
        <v>191</v>
      </c>
      <c r="C62" s="114" t="s">
        <v>176</v>
      </c>
      <c r="D62" s="240">
        <v>41334</v>
      </c>
      <c r="E62" s="118" t="s">
        <v>192</v>
      </c>
      <c r="F62" s="118" t="s">
        <v>178</v>
      </c>
      <c r="G62" s="118" t="s">
        <v>194</v>
      </c>
      <c r="H62" s="120" t="s">
        <v>180</v>
      </c>
      <c r="I62" s="234" t="s">
        <v>182</v>
      </c>
      <c r="J62" s="250" t="s">
        <v>183</v>
      </c>
      <c r="K62" s="121" t="s">
        <v>188</v>
      </c>
    </row>
    <row r="63" spans="1:11" x14ac:dyDescent="0.2">
      <c r="A63" s="115">
        <v>20002309</v>
      </c>
      <c r="B63" s="238"/>
      <c r="C63" s="117" t="s">
        <v>177</v>
      </c>
      <c r="D63" s="241"/>
      <c r="E63" s="115" t="s">
        <v>193</v>
      </c>
      <c r="F63" s="115" t="s">
        <v>179</v>
      </c>
      <c r="G63" s="115" t="s">
        <v>195</v>
      </c>
      <c r="H63" s="115" t="s">
        <v>181</v>
      </c>
      <c r="I63" s="235"/>
      <c r="J63" s="251"/>
      <c r="K63" s="117" t="s">
        <v>184</v>
      </c>
    </row>
    <row r="64" spans="1:11" ht="25.5" x14ac:dyDescent="0.2">
      <c r="A64" s="116"/>
      <c r="B64" s="239"/>
      <c r="C64" s="116"/>
      <c r="D64" s="242"/>
      <c r="E64" s="116"/>
      <c r="F64" s="116"/>
      <c r="G64" s="116"/>
      <c r="H64" s="116"/>
      <c r="I64" s="236"/>
      <c r="J64" s="252"/>
      <c r="K64" s="122" t="s">
        <v>185</v>
      </c>
    </row>
    <row r="65" ht="24.95" customHeight="1" x14ac:dyDescent="0.2"/>
    <row r="68" ht="24.95" customHeight="1" x14ac:dyDescent="0.2"/>
    <row r="71" ht="26.1" customHeight="1" x14ac:dyDescent="0.2"/>
    <row r="74" ht="24.95" customHeight="1" x14ac:dyDescent="0.2"/>
    <row r="76" ht="24.95" customHeight="1" x14ac:dyDescent="0.2"/>
    <row r="79" ht="26.1" customHeight="1" x14ac:dyDescent="0.2"/>
    <row r="82" ht="24.95" customHeight="1" x14ac:dyDescent="0.2"/>
    <row r="85" ht="24.95" customHeight="1" x14ac:dyDescent="0.2"/>
    <row r="88" ht="24.95" customHeight="1" x14ac:dyDescent="0.2"/>
    <row r="91" ht="26.1" customHeight="1" x14ac:dyDescent="0.2"/>
    <row r="94" ht="26.1" customHeight="1" x14ac:dyDescent="0.2"/>
    <row r="97" ht="26.1" customHeight="1" x14ac:dyDescent="0.2"/>
    <row r="100" ht="26.1" customHeight="1" x14ac:dyDescent="0.2"/>
    <row r="103" ht="18.95" customHeight="1" x14ac:dyDescent="0.2"/>
    <row r="106" ht="18.95" customHeight="1" x14ac:dyDescent="0.2"/>
    <row r="109" ht="18.95" customHeight="1" x14ac:dyDescent="0.2"/>
    <row r="112" ht="18.95" customHeight="1" x14ac:dyDescent="0.2"/>
    <row r="115" ht="24.95" customHeight="1" x14ac:dyDescent="0.2"/>
    <row r="118" ht="24.95" customHeight="1" x14ac:dyDescent="0.2"/>
    <row r="121" ht="18.95" customHeight="1" x14ac:dyDescent="0.2"/>
    <row r="124" ht="18.95" customHeight="1" x14ac:dyDescent="0.2"/>
    <row r="127" ht="18.95" customHeight="1" x14ac:dyDescent="0.2"/>
    <row r="130" ht="24.95" customHeight="1" x14ac:dyDescent="0.2"/>
    <row r="133" ht="18.95" customHeight="1" x14ac:dyDescent="0.2"/>
    <row r="136" ht="18.95" customHeight="1" x14ac:dyDescent="0.2"/>
    <row r="139" ht="26.1" customHeight="1" x14ac:dyDescent="0.2"/>
    <row r="142" ht="26.1" customHeight="1" x14ac:dyDescent="0.2"/>
    <row r="145" ht="24.95" customHeight="1" x14ac:dyDescent="0.2"/>
    <row r="148" ht="24.95" customHeight="1" x14ac:dyDescent="0.2"/>
    <row r="151" ht="24.95" customHeight="1" x14ac:dyDescent="0.2"/>
    <row r="153" ht="24.95" customHeight="1" x14ac:dyDescent="0.2"/>
    <row r="156" ht="24.95" customHeight="1" x14ac:dyDescent="0.2"/>
    <row r="159" ht="24.95" customHeight="1" x14ac:dyDescent="0.2"/>
    <row r="162" ht="24.95" customHeight="1" x14ac:dyDescent="0.2"/>
    <row r="165" ht="24.95" customHeight="1" x14ac:dyDescent="0.2"/>
    <row r="168" ht="12.95" customHeight="1" x14ac:dyDescent="0.2"/>
    <row r="169" ht="12.6" customHeight="1" x14ac:dyDescent="0.2"/>
    <row r="172" ht="24.95" customHeight="1" x14ac:dyDescent="0.2"/>
  </sheetData>
  <mergeCells count="87">
    <mergeCell ref="A1:K1"/>
    <mergeCell ref="A2:K2"/>
    <mergeCell ref="B3:B4"/>
    <mergeCell ref="D3:D4"/>
    <mergeCell ref="I3:I4"/>
    <mergeCell ref="J3:J4"/>
    <mergeCell ref="K3:K4"/>
    <mergeCell ref="B5:B7"/>
    <mergeCell ref="D5:D7"/>
    <mergeCell ref="I5:I7"/>
    <mergeCell ref="J5:J7"/>
    <mergeCell ref="B8:B10"/>
    <mergeCell ref="D8:D10"/>
    <mergeCell ref="I8:I10"/>
    <mergeCell ref="J8:J10"/>
    <mergeCell ref="B11:B13"/>
    <mergeCell ref="D11:D13"/>
    <mergeCell ref="I11:I13"/>
    <mergeCell ref="J11:J13"/>
    <mergeCell ref="B14:B16"/>
    <mergeCell ref="D14:D16"/>
    <mergeCell ref="I14:I16"/>
    <mergeCell ref="J14:J16"/>
    <mergeCell ref="B17:B19"/>
    <mergeCell ref="D17:D19"/>
    <mergeCell ref="I17:I19"/>
    <mergeCell ref="J17:J19"/>
    <mergeCell ref="B20:B22"/>
    <mergeCell ref="D20:D22"/>
    <mergeCell ref="I20:I22"/>
    <mergeCell ref="J20:J22"/>
    <mergeCell ref="B23:B25"/>
    <mergeCell ref="D23:D25"/>
    <mergeCell ref="I23:I25"/>
    <mergeCell ref="J23:J25"/>
    <mergeCell ref="B26:B28"/>
    <mergeCell ref="D26:D28"/>
    <mergeCell ref="I26:I28"/>
    <mergeCell ref="J26:J28"/>
    <mergeCell ref="B29:B31"/>
    <mergeCell ref="D29:D31"/>
    <mergeCell ref="I29:I31"/>
    <mergeCell ref="J29:J31"/>
    <mergeCell ref="B32:B34"/>
    <mergeCell ref="D32:D34"/>
    <mergeCell ref="I32:I34"/>
    <mergeCell ref="J32:J34"/>
    <mergeCell ref="B35:B37"/>
    <mergeCell ref="D35:D37"/>
    <mergeCell ref="I35:I37"/>
    <mergeCell ref="J35:J37"/>
    <mergeCell ref="B38:B40"/>
    <mergeCell ref="D38:D40"/>
    <mergeCell ref="I38:I40"/>
    <mergeCell ref="J38:J40"/>
    <mergeCell ref="B41:B43"/>
    <mergeCell ref="D41:D43"/>
    <mergeCell ref="I41:I43"/>
    <mergeCell ref="J41:J43"/>
    <mergeCell ref="B44:B46"/>
    <mergeCell ref="D44:D46"/>
    <mergeCell ref="I44:I46"/>
    <mergeCell ref="J44:J46"/>
    <mergeCell ref="B47:B49"/>
    <mergeCell ref="D47:D49"/>
    <mergeCell ref="I47:I49"/>
    <mergeCell ref="J47:J49"/>
    <mergeCell ref="B50:B52"/>
    <mergeCell ref="D50:D52"/>
    <mergeCell ref="I50:I52"/>
    <mergeCell ref="J50:J52"/>
    <mergeCell ref="B53:B55"/>
    <mergeCell ref="D53:D55"/>
    <mergeCell ref="I53:I55"/>
    <mergeCell ref="J53:J55"/>
    <mergeCell ref="B56:B58"/>
    <mergeCell ref="D56:D58"/>
    <mergeCell ref="I56:I58"/>
    <mergeCell ref="J56:J58"/>
    <mergeCell ref="B59:B61"/>
    <mergeCell ref="D59:D61"/>
    <mergeCell ref="I59:I61"/>
    <mergeCell ref="J59:J61"/>
    <mergeCell ref="B62:B64"/>
    <mergeCell ref="D62:D64"/>
    <mergeCell ref="I62:I64"/>
    <mergeCell ref="J62:J64"/>
  </mergeCells>
  <hyperlinks>
    <hyperlink ref="A3" r:id="rId1" display="http://www.quantumonline.com/debttable.cfm?SortColumn=symbol&amp;Sortorder=ASC"/>
    <hyperlink ref="B3" r:id="rId2" display="http://www.quantumonline.com/debttable.cfm?SortColumn=Company&amp;Sortorder=ASC"/>
    <hyperlink ref="C3" r:id="rId3" display="http://www.quantumonline.com/debttable.cfm?SortColumn=Exchange&amp;Sortorder=ASC"/>
    <hyperlink ref="C4" r:id="rId4" display="http://www.quantumonline.com/debttable.cfm?SortColumn=Exchange&amp;Sortorder=ASC"/>
    <hyperlink ref="D3" r:id="rId5" display="http://www.quantumonline.com/debttable.cfm?SortColumn=IPODate&amp;Sortorder=DESC"/>
    <hyperlink ref="E3" r:id="rId6" display="http://www.quantumonline.com/debttable.cfm?SortColumn=PfdDivRate&amp;Sortorder=DESC"/>
    <hyperlink ref="F3" r:id="rId7" display="http://www.quantumonline.com/debttable.cfm?SortColumn=PfdLiqPref&amp;Sortorder=DESC"/>
    <hyperlink ref="F4" r:id="rId8" display="http://www.quantumonline.com/debttable.cfm?SortColumn=PfdCallPrice&amp;Sortorder=DESC"/>
    <hyperlink ref="G3" r:id="rId9" display="http://www.quantumonline.com/debttable.cfm?SortColumn=PfdRedempDate&amp;Sortorder=DESC"/>
    <hyperlink ref="H3" r:id="rId10" display="http://www.quantumonline.com/debttable.cfm?SortColumn=MoodysCode&amp;Sortorder=ASC"/>
    <hyperlink ref="H4" r:id="rId11" display="http://www.quantumonline.com/debttable.cfm?SortColumn=MoodysCode&amp;Sortorder=ASC"/>
    <hyperlink ref="K3" r:id="rId12" display="http://www.quantumonline.com/debttable.cfm?SortColumn=PfdDivPayDates&amp;Sortorder=ASC"/>
    <hyperlink ref="A5" r:id="rId13" display="http://www.quantumonline.com/search.cfm?tickersymbol=TVC&amp;sopt=symbol"/>
    <hyperlink ref="C5" r:id="rId14" display="https://www.nyse.com/quote/XNYS:TVC"/>
    <hyperlink ref="C6" r:id="rId15" display="https://www.nyse.com/quote/XNYS:TVC"/>
    <hyperlink ref="J5" r:id="rId16" display="http://www.tva.gov/finance/opportun/pdf/g47584.pdf"/>
    <hyperlink ref="K6" r:id="rId17" display="http://www.marketwatch.com/investing/stock/TVC"/>
    <hyperlink ref="K7" r:id="rId18" display="http://finance.yahoo.com/q?s=TVC"/>
    <hyperlink ref="A8" r:id="rId19" display="http://www.quantumonline.com/search.cfm?tickersymbol=TVE&amp;sopt=symbol"/>
    <hyperlink ref="C8" r:id="rId20" display="https://www.nyse.com/quote/XNYS:TVE"/>
    <hyperlink ref="C9" r:id="rId21" display="https://www.nyse.com/quote/XNYS:TVE"/>
    <hyperlink ref="J8" r:id="rId22" display="http://www.tva.gov/finance/opportun/pdf/g53944.pdf"/>
    <hyperlink ref="K9" r:id="rId23" display="http://www.marketwatch.com/investing/stock/TVE"/>
    <hyperlink ref="K10" r:id="rId24" display="http://finance.yahoo.com/q?s=TVE"/>
    <hyperlink ref="A11" r:id="rId25" display="http://www.quantumonline.com/search.cfm?tickersymbol=GEB&amp;sopt=symbol"/>
    <hyperlink ref="C11" r:id="rId26" display="https://www.nyse.com/quote/XNYS:GEB"/>
    <hyperlink ref="C12" r:id="rId27" display="https://www.nyse.com/quote/XNYS:GEB"/>
    <hyperlink ref="J11" r:id="rId28" display="http://www.sec.gov/Archives/edgar/data/40554/000093041312005591/c71193_424b2.htm"/>
    <hyperlink ref="K12" r:id="rId29" display="http://www.marketwatch.com/investing/stock/GEB"/>
    <hyperlink ref="K13" r:id="rId30" display="http://finance.yahoo.com/q?s=GEB"/>
    <hyperlink ref="A14" r:id="rId31" display="http://www.quantumonline.com/search.cfm?tickersymbol=GEH&amp;sopt=symbol"/>
    <hyperlink ref="C14" r:id="rId32" display="https://www.nyse.com/quote/XNYS:GEH"/>
    <hyperlink ref="C15" r:id="rId33" display="https://www.nyse.com/quote/XNYS:GEH"/>
    <hyperlink ref="J14" r:id="rId34" display="http://www.sec.gov/Archives/edgar/data/40554/000093041313000336/c72308_424b2.htm"/>
    <hyperlink ref="K15" r:id="rId35" display="http://www.marketwatch.com/investing/stock/GEH"/>
    <hyperlink ref="K16" r:id="rId36" display="http://finance.yahoo.com/q?s=GEH"/>
    <hyperlink ref="A17" r:id="rId37" display="http://www.quantumonline.com/search.cfm?tickersymbol=GEK&amp;sopt=symbol"/>
    <hyperlink ref="C17" r:id="rId38" display="https://www.nyse.com/quote/XNYS:GEK"/>
    <hyperlink ref="C18" r:id="rId39" display="https://www.nyse.com/quote/XNYS:GEK"/>
    <hyperlink ref="J17" r:id="rId40" display="http://www.sec.gov/Archives/edgar/data/40554/000093041313002894/c73747_424b2.htm"/>
    <hyperlink ref="K18" r:id="rId41" display="http://www.marketwatch.com/investing/stock/GEK"/>
    <hyperlink ref="K19" r:id="rId42" display="http://finance.yahoo.com/q?s=GEK"/>
    <hyperlink ref="A20" r:id="rId43" display="http://www.quantumonline.com/search.cfm?tickersymbol=ELA&amp;sopt=symbol"/>
    <hyperlink ref="C20" r:id="rId44" display="https://www.nyse.com/quote/XNYS:ELA"/>
    <hyperlink ref="C21" r:id="rId45" display="https://www.nyse.com/quote/XNYS:ELA"/>
    <hyperlink ref="J20" r:id="rId46" display="http://www.sec.gov/Archives/edgar/data/1348952/000006598410000235/h77499.htm"/>
    <hyperlink ref="K21" r:id="rId47" display="http://www.marketwatch.com/investing/stock/ELA"/>
    <hyperlink ref="K22" r:id="rId48" display="http://finance.yahoo.com/q?s=ELA"/>
    <hyperlink ref="A23" r:id="rId49" display="http://www.quantumonline.com/search.cfm?tickersymbol=ELB&amp;sopt=symbol"/>
    <hyperlink ref="C23" r:id="rId50" display="https://www.nyse.com/quote/XNYS:ELB"/>
    <hyperlink ref="C24" r:id="rId51" display="https://www.nyse.com/quote/XNYS:ELB"/>
    <hyperlink ref="J23" r:id="rId52" display="http://www.sec.gov/Archives/edgar/data/1348952/000006598410000062/entergy.htm"/>
    <hyperlink ref="K24" r:id="rId53" display="http://www.marketwatch.com/investing/stock/ELB"/>
    <hyperlink ref="K25" r:id="rId54" display="http://finance.yahoo.com/q?s=ELB"/>
    <hyperlink ref="A26" r:id="rId55" display="http://www.quantumonline.com/search.cfm?tickersymbol=ELJ&amp;sopt=symbol"/>
    <hyperlink ref="C26" r:id="rId56" display="https://www.nyse.com/quote/XNYS:ELJ"/>
    <hyperlink ref="C27" r:id="rId57" display="https://www.nyse.com/quote/XNYS:ELJ"/>
    <hyperlink ref="J26" r:id="rId58" display="http://www.sec.gov/Archives/edgar/data/1348952/000006598412000140/d368812d424b2.htm"/>
    <hyperlink ref="K27" r:id="rId59" display="http://www.marketwatch.com/investing/stock/ELJ"/>
    <hyperlink ref="K28" r:id="rId60" display="http://finance.yahoo.com/q?s=ELJ"/>
    <hyperlink ref="A29" r:id="rId61" display="http://www.quantumonline.com/search.cfm?tickersymbol=LYG-A&amp;sopt=symbol"/>
    <hyperlink ref="C29" r:id="rId62" display="https://www.nyse.com/quote/XNYS:LYGpA"/>
    <hyperlink ref="C30" r:id="rId63" display="https://www.nyse.com/quote/XNYS:LYGpA"/>
    <hyperlink ref="J29" r:id="rId64" display="http://www.sec.gov/Archives/edgar/data/1160106/000093041310003791/c62036_424b2.htm"/>
    <hyperlink ref="K30" r:id="rId65" display="http://www.marketwatch.com/investing/stock/LYG.PA"/>
    <hyperlink ref="K31" r:id="rId66" display="http://finance.yahoo.com/q?s=LYG-PA"/>
    <hyperlink ref="A32" r:id="rId67" display="http://www.quantumonline.com/search.cfm?tickersymbol=ELU&amp;sopt=symbol"/>
    <hyperlink ref="C32" r:id="rId68" display="https://www.nyse.com/quote/XNYS:ELU"/>
    <hyperlink ref="C33" r:id="rId69" display="https://www.nyse.com/quote/XNYS:ELU"/>
    <hyperlink ref="J32" r:id="rId70" display="http://www.sec.gov/Archives/edgar/data/1348952/000006598413000093/d531614d424b3.htm"/>
    <hyperlink ref="K33" r:id="rId71" display="http://www.marketwatch.com/investing/stock/ELU"/>
    <hyperlink ref="K34" r:id="rId72" display="http://finance.yahoo.com/q?s=ELU"/>
    <hyperlink ref="A35" r:id="rId73" display="http://www.quantumonline.com/search.cfm?tickersymbol=EMQ&amp;sopt=symbol"/>
    <hyperlink ref="C35" r:id="rId74" display="https://www.nyse.com/quote/XNYS:EMQ"/>
    <hyperlink ref="C36" r:id="rId75" display="https://www.nyse.com/quote/XNYS:EMQ"/>
    <hyperlink ref="J35" r:id="rId76" display="http://www.sec.gov/Archives/edgar/data/66901/0000065984-02-000208.txt"/>
    <hyperlink ref="K36" r:id="rId77" display="http://www.marketwatch.com/investing/stock/EMQ"/>
    <hyperlink ref="K37" r:id="rId78" display="http://finance.yahoo.com/q?s=EMQ"/>
    <hyperlink ref="A38" r:id="rId79" display="http://www.quantumonline.com/search.cfm?tickersymbol=EMZ&amp;sopt=symbol"/>
    <hyperlink ref="C38" r:id="rId80" display="https://www.nyse.com/quote/XNYS:EMZ"/>
    <hyperlink ref="C39" r:id="rId81" display="https://www.nyse.com/quote/XNYS:EMZ"/>
    <hyperlink ref="J38" r:id="rId82" display="http://www.sec.gov/Archives/edgar/data/66901/000006598411000069/a01911.htm"/>
    <hyperlink ref="K39" r:id="rId83" display="http://www.marketwatch.com/investing/stock/EMZ"/>
    <hyperlink ref="K40" r:id="rId84" display="http://finance.yahoo.com/q?s=EMZ"/>
    <hyperlink ref="A41" r:id="rId85" display="http://www.quantumonline.com/search.cfm?tickersymbol=EAA&amp;sopt=symbol"/>
    <hyperlink ref="C41" r:id="rId86" display="https://www.nyse.com/quote/XNYS:EAA"/>
    <hyperlink ref="C42" r:id="rId87" display="https://www.nyse.com/quote/XNYS:EAA"/>
    <hyperlink ref="J41" r:id="rId88" display="http://www.sec.gov/Archives/edgar/data/7323/000006598410000203/h76557.htm"/>
    <hyperlink ref="K42" r:id="rId89" display="http://www.marketwatch.com/investing/stock/EAA"/>
    <hyperlink ref="K43" r:id="rId90" display="http://finance.yahoo.com/q?s=EAA"/>
    <hyperlink ref="A44" r:id="rId91" display="http://www.quantumonline.com/search.cfm?tickersymbol=EAE&amp;sopt=symbol"/>
    <hyperlink ref="C44" r:id="rId92" display="https://www.nyse.com/quote/XNYS:EAE"/>
    <hyperlink ref="C45" r:id="rId93" display="https://www.nyse.com/quote/XNYS:EAE"/>
    <hyperlink ref="J44" r:id="rId94" display="http://www.sec.gov/Archives/edgar/data/7323/000006598413000112/d536104d424b2.htm"/>
    <hyperlink ref="K45" r:id="rId95" display="http://www.marketwatch.com/investing/stock/EAE"/>
    <hyperlink ref="K46" r:id="rId96" display="http://finance.yahoo.com/q?s=EAE"/>
    <hyperlink ref="A47" r:id="rId97" display="http://www.quantumonline.com/search.cfm?tickersymbol=EFM&amp;sopt=symbol"/>
    <hyperlink ref="C47" r:id="rId98" display="https://www.nyse.com/quote/XNYS:EFM"/>
    <hyperlink ref="C48" r:id="rId99" display="https://www.nyse.com/quote/XNYS:EFM"/>
    <hyperlink ref="J47" r:id="rId100" display="http://www.sec.gov/Archives/edgar/data/66901/000006598410000079/d424b2.htm"/>
    <hyperlink ref="K48" r:id="rId101" display="http://www.marketwatch.com/investing/stock/EFM"/>
    <hyperlink ref="K49" r:id="rId102" display="http://finance.yahoo.com/q?s=EFM"/>
    <hyperlink ref="A50" r:id="rId103" display="http://www.quantumonline.com/search.cfm?tickersymbol=CCV&amp;sopt=symbol"/>
    <hyperlink ref="C50" r:id="rId104" display="https://www.nyse.com/quote/XNYS:CCV"/>
    <hyperlink ref="C51" r:id="rId105" display="https://www.nyse.com/quote/XNYS:CCV"/>
    <hyperlink ref="J50" r:id="rId106" display="http://www.sec.gov/Archives/edgar/data/1166691/000119312512487836/d440628d424b2.htm"/>
    <hyperlink ref="K51" r:id="rId107" display="http://www.marketwatch.com/investing/stock/CCV"/>
    <hyperlink ref="K52" r:id="rId108" display="http://finance.yahoo.com/q?s=CCV"/>
    <hyperlink ref="A53" r:id="rId109" display="http://www.quantumonline.com/search.cfm?tickersymbol=DTQ&amp;sopt=symbol"/>
    <hyperlink ref="C53" r:id="rId110" display="https://www.nyse.com/quote/XNYS:DTQ"/>
    <hyperlink ref="C54" r:id="rId111" display="https://www.nyse.com/quote/XNYS:DTQ"/>
    <hyperlink ref="J53" r:id="rId112" display="http://www.sec.gov/Archives/edgar/data/936340/000119312512404288/d415349d424b2.htm"/>
    <hyperlink ref="K54" r:id="rId113" display="http://www.marketwatch.com/investing/stock/DTQ"/>
    <hyperlink ref="K55" r:id="rId114" display="http://finance.yahoo.com/q?s=DTQ"/>
    <hyperlink ref="A56" r:id="rId115" display="http://www.quantumonline.com/search.cfm?tickersymbol=DTZ&amp;sopt=symbol"/>
    <hyperlink ref="C56" r:id="rId116" display="https://www.nyse.com/quote/XNYS:DTZ"/>
    <hyperlink ref="C57" r:id="rId117" display="https://www.nyse.com/quote/XNYS:DTZ"/>
    <hyperlink ref="J56" r:id="rId118" display="http://www.sec.gov/Archives/edgar/data/936340/000119312511324670/d260952d424b2.htm"/>
    <hyperlink ref="K57" r:id="rId119" display="http://www.marketwatch.com/investing/stock/DTZ"/>
    <hyperlink ref="K58" r:id="rId120" display="http://finance.yahoo.com/q?s=DTZ"/>
    <hyperlink ref="A59" r:id="rId121" display="http://www.quantumonline.com/search.cfm?tickersymbol=DUKH&amp;sopt=symbol"/>
    <hyperlink ref="C59" r:id="rId122" display="https://www.nyse.com/quote/XNYS:DUKH"/>
    <hyperlink ref="C60" r:id="rId123" display="https://www.nyse.com/quote/XNYS:DUKH"/>
    <hyperlink ref="J59" r:id="rId124" display="http://www.sec.gov/Archives/edgar/data/1326160/000104746913000149/a2212334z424b5.htm"/>
    <hyperlink ref="K60" r:id="rId125" display="http://www.marketwatch.com/investing/stock/DUKH"/>
    <hyperlink ref="K61" r:id="rId126" display="http://finance.yahoo.com/q?s=DUKH"/>
    <hyperlink ref="A62" r:id="rId127" display="http://www.quantumonline.com/search.cfm?tickersymbol=ALL-B&amp;sopt=symbol"/>
    <hyperlink ref="C62" r:id="rId128" display="https://www.nyse.com/quote/XNYS:ALLpB"/>
    <hyperlink ref="C63" r:id="rId129" display="https://www.nyse.com/quote/XNYS:ALLpB"/>
    <hyperlink ref="J62" r:id="rId130" display="http://www.sec.gov/Archives/edgar/data/899051/000104746913000048/a2212216z424b5.htm"/>
    <hyperlink ref="K63" r:id="rId131" display="http://www.marketwatch.com/investing/stock/ALL.PB"/>
    <hyperlink ref="K64" r:id="rId132" display="http://finance.yahoo.com/q?s=ALL-PB"/>
  </hyperlinks>
  <printOptions gridLines="1"/>
  <pageMargins left="0.7" right="0.7" top="0.75" bottom="0.75" header="0.3" footer="0.3"/>
  <pageSetup orientation="portrait" verticalDpi="4" r:id="rId13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tabSelected="1" workbookViewId="0">
      <selection activeCell="A10" sqref="A10"/>
    </sheetView>
  </sheetViews>
  <sheetFormatPr defaultRowHeight="12.75" x14ac:dyDescent="0.2"/>
  <cols>
    <col min="1" max="1" width="15" bestFit="1" customWidth="1"/>
    <col min="2" max="2" width="89.5703125" bestFit="1" customWidth="1"/>
  </cols>
  <sheetData>
    <row r="1" spans="1:2" ht="15" x14ac:dyDescent="0.25">
      <c r="A1" s="258" t="s">
        <v>471</v>
      </c>
      <c r="B1" s="258"/>
    </row>
    <row r="2" spans="1:2" x14ac:dyDescent="0.2">
      <c r="A2" s="8" t="s">
        <v>469</v>
      </c>
      <c r="B2" s="8" t="s">
        <v>470</v>
      </c>
    </row>
    <row r="3" spans="1:2" x14ac:dyDescent="0.2">
      <c r="A3" s="213" t="s">
        <v>472</v>
      </c>
      <c r="B3" s="84" t="str">
        <f ca="1">INDIRECT(ADDRESS(1,1,1,1,A3))</f>
        <v>UNITED STATES FEDERAL DEBT</v>
      </c>
    </row>
    <row r="4" spans="1:2" x14ac:dyDescent="0.2">
      <c r="A4" s="213" t="s">
        <v>473</v>
      </c>
      <c r="B4" s="84" t="str">
        <f t="shared" ref="B4:B31" ca="1" si="0">INDIRECT(ADDRESS(1,1,1,1,A4))</f>
        <v>YIELD TO MATURITY OF XYZ BOND</v>
      </c>
    </row>
    <row r="5" spans="1:2" x14ac:dyDescent="0.2">
      <c r="A5" s="213" t="s">
        <v>474</v>
      </c>
      <c r="B5" s="84" t="str">
        <f t="shared" ca="1" si="0"/>
        <v>VALUING THE XYZ CORPORATION BONDS</v>
      </c>
    </row>
    <row r="6" spans="1:2" x14ac:dyDescent="0.2">
      <c r="A6" s="213" t="s">
        <v>475</v>
      </c>
      <c r="B6" s="84" t="str">
        <f t="shared" ca="1" si="0"/>
        <v>Payment pattern of XYZ bond purchased on 15 May 2015 and held to maturity</v>
      </c>
    </row>
    <row r="7" spans="1:2" x14ac:dyDescent="0.2">
      <c r="A7" s="213" t="s">
        <v>476</v>
      </c>
      <c r="B7" s="84" t="str">
        <f t="shared" ca="1" si="0"/>
        <v>YIELD TO MATURITY
For uneven date spacing for XYZ bond</v>
      </c>
    </row>
    <row r="8" spans="1:2" x14ac:dyDescent="0.2">
      <c r="A8" s="213" t="s">
        <v>477</v>
      </c>
      <c r="B8" s="84" t="str">
        <f t="shared" ca="1" si="0"/>
        <v>YTM WITH SEMIANNUAL COUPON PAYMENTS</v>
      </c>
    </row>
    <row r="9" spans="1:2" x14ac:dyDescent="0.2">
      <c r="A9" s="213" t="s">
        <v>500</v>
      </c>
      <c r="B9" s="84" t="str">
        <f t="shared" ca="1" si="0"/>
        <v>ACCRUED INTEREST AND YTM COMPUTATIONS</v>
      </c>
    </row>
    <row r="10" spans="1:2" x14ac:dyDescent="0.2">
      <c r="A10" s="213" t="s">
        <v>478</v>
      </c>
      <c r="B10" s="84" t="str">
        <f t="shared" ca="1" si="0"/>
        <v xml:space="preserve"> COMPUTING THE ACCRUED INTEREST</v>
      </c>
    </row>
    <row r="11" spans="1:2" x14ac:dyDescent="0.2">
      <c r="A11" s="213" t="s">
        <v>479</v>
      </c>
      <c r="B11" s="84" t="str">
        <f t="shared" ca="1" si="0"/>
        <v>COMPUTING THE YIELD TO MATURITY (YTM)  
ON TREASURY BILLS</v>
      </c>
    </row>
    <row r="12" spans="1:2" x14ac:dyDescent="0.2">
      <c r="A12" s="213" t="s">
        <v>480</v>
      </c>
      <c r="B12" s="84" t="str">
        <f t="shared" ca="1" si="0"/>
        <v>UNITED STATES TREASURY BOND, 2.5% 
MATURING 15 AUGUST 2023
Bought at issue date</v>
      </c>
    </row>
    <row r="13" spans="1:2" x14ac:dyDescent="0.2">
      <c r="A13" s="213" t="s">
        <v>481</v>
      </c>
      <c r="B13" s="84" t="str">
        <f t="shared" ca="1" si="0"/>
        <v>UNITED STATES TREASURY BOND, 2.5%, MATURING 15 AUGUST 2023
Bought on 29 September 2014</v>
      </c>
    </row>
    <row r="14" spans="1:2" x14ac:dyDescent="0.2">
      <c r="A14" s="213" t="s">
        <v>482</v>
      </c>
      <c r="B14" s="84" t="str">
        <f t="shared" ca="1" si="0"/>
        <v>CATERPILLAR INC. 3.803% BONDS 
ISSUER PERSPECTIVE
15 August 2012 (issue date)</v>
      </c>
    </row>
    <row r="15" spans="1:2" x14ac:dyDescent="0.2">
      <c r="A15" s="213" t="s">
        <v>483</v>
      </c>
      <c r="B15" s="84" t="str">
        <f t="shared" ca="1" si="0"/>
        <v>CATERPILLAR INC. 3.803% BONDS 
BUYER PERSPECTIVE
10 October 2014</v>
      </c>
    </row>
    <row r="16" spans="1:2" x14ac:dyDescent="0.2">
      <c r="A16" s="213" t="s">
        <v>484</v>
      </c>
      <c r="B16" s="84" t="str">
        <f t="shared" ca="1" si="0"/>
        <v>GENERAL ELECTRIC BONDS</v>
      </c>
    </row>
    <row r="17" spans="1:2" x14ac:dyDescent="0.2">
      <c r="A17" s="213" t="s">
        <v>485</v>
      </c>
      <c r="B17" s="84" t="str">
        <f t="shared" ca="1" si="0"/>
        <v>GENERAL ELECTRIC BONDS</v>
      </c>
    </row>
    <row r="18" spans="1:2" x14ac:dyDescent="0.2">
      <c r="A18" s="213" t="s">
        <v>486</v>
      </c>
      <c r="B18" s="84" t="str">
        <f t="shared" ca="1" si="0"/>
        <v>GENERAL ELECTRIC CO. PREFERRED STOCK
annualized yield assuming no call</v>
      </c>
    </row>
    <row r="19" spans="1:2" x14ac:dyDescent="0.2">
      <c r="A19" s="213" t="s">
        <v>487</v>
      </c>
      <c r="B19" s="84" t="str">
        <f t="shared" ca="1" si="0"/>
        <v>GENERAL ELECTRIC 6.25% PREFERRED STOCK
computing the yield to first call</v>
      </c>
    </row>
    <row r="20" spans="1:2" x14ac:dyDescent="0.2">
      <c r="A20" s="213" t="s">
        <v>488</v>
      </c>
      <c r="B20" s="84" t="str">
        <f t="shared" ca="1" si="0"/>
        <v>USING ZERO-COUPONS TO DETERMINE 
BOND DISCOUNT RATES</v>
      </c>
    </row>
    <row r="21" spans="1:2" x14ac:dyDescent="0.2">
      <c r="A21" s="213" t="s">
        <v>489</v>
      </c>
      <c r="B21" s="84" t="str">
        <f t="shared" ca="1" si="0"/>
        <v>PRICES AND YIELDS OF U.S. TREASURY STRIPS</v>
      </c>
    </row>
    <row r="22" spans="1:2" x14ac:dyDescent="0.2">
      <c r="A22" s="213" t="s">
        <v>490</v>
      </c>
      <c r="B22" s="84" t="str">
        <f t="shared" ca="1" si="0"/>
        <v>WHAT’S A DOLLAR WORTH?
How much would it cost in 2014 to buy $1 of goods?</v>
      </c>
    </row>
    <row r="23" spans="1:2" x14ac:dyDescent="0.2">
      <c r="A23" s="213" t="s">
        <v>491</v>
      </c>
      <c r="B23" s="84" t="str">
        <f t="shared" ca="1" si="0"/>
        <v>ANNUAL INFLATION RATE IN THE UNITED STATES, 1948-2014</v>
      </c>
    </row>
    <row r="24" spans="1:2" x14ac:dyDescent="0.2">
      <c r="A24" s="213" t="s">
        <v>492</v>
      </c>
      <c r="B24" s="84" t="str">
        <f t="shared" ca="1" si="0"/>
        <v>ANNUAL INFLATION RATES AND CUMULATIVE INFLATION</v>
      </c>
    </row>
    <row r="25" spans="1:2" x14ac:dyDescent="0.2">
      <c r="A25" s="213" t="s">
        <v>493</v>
      </c>
      <c r="B25" s="84" t="str">
        <f t="shared" ca="1" si="0"/>
        <v>REAL AND NOMINAL CASH FLOWS</v>
      </c>
    </row>
    <row r="26" spans="1:2" x14ac:dyDescent="0.2">
      <c r="A26" s="213" t="s">
        <v>494</v>
      </c>
      <c r="B26" s="84" t="str">
        <f t="shared" ca="1" si="0"/>
        <v>HOW MUCH DID YOU REALLY EARN?</v>
      </c>
    </row>
    <row r="27" spans="1:2" x14ac:dyDescent="0.2">
      <c r="A27" s="213" t="s">
        <v>495</v>
      </c>
      <c r="B27" s="84" t="str">
        <f t="shared" ca="1" si="0"/>
        <v>ANALYZING A 1-YEAR TREASURY INFLATION PROTECTED SECURITY (TIPS)</v>
      </c>
    </row>
    <row r="28" spans="1:2" x14ac:dyDescent="0.2">
      <c r="A28" s="213" t="s">
        <v>496</v>
      </c>
      <c r="B28" s="84" t="str">
        <f t="shared" ca="1" si="0"/>
        <v>ANALYZING A 10-YEAR TREASURY INFLATION PROTECTED SECURITY (TIPS)</v>
      </c>
    </row>
    <row r="29" spans="1:2" x14ac:dyDescent="0.2">
      <c r="A29" s="213" t="s">
        <v>497</v>
      </c>
      <c r="B29" s="84" t="str">
        <f t="shared" ca="1" si="0"/>
        <v>COMPARING A 5-YEAR TIPS
VERSUS A 5-YEAR BANK CERTIFICATE OF DEPOSIT (CD)</v>
      </c>
    </row>
    <row r="30" spans="1:2" x14ac:dyDescent="0.2">
      <c r="A30" s="213" t="s">
        <v>498</v>
      </c>
      <c r="B30" s="84" t="str">
        <f t="shared" ca="1" si="0"/>
        <v>REAL RETURN ON TIPS VERSUS 5-YEAR CD</v>
      </c>
    </row>
    <row r="31" spans="1:2" x14ac:dyDescent="0.2">
      <c r="A31" s="213" t="s">
        <v>499</v>
      </c>
      <c r="B31" s="84" t="str">
        <f t="shared" ca="1" si="0"/>
        <v>NOMINAL AND REAL INTEREST RATES ON 21 AUGUST 2009</v>
      </c>
    </row>
  </sheetData>
  <mergeCells count="1">
    <mergeCell ref="A1:B1"/>
  </mergeCells>
  <hyperlinks>
    <hyperlink ref="A3" location="'Page 461'!A1" display="'Page 461'!A1"/>
    <hyperlink ref="A4" location="'Page 463'!A1" display="'Page 463'!A1"/>
    <hyperlink ref="A5" location="'Page 464'!A1" display="'Page 464'!A1"/>
    <hyperlink ref="A6" location="'Page 465 timeline'!A1" display="'Page 465 timeline'!A1"/>
    <hyperlink ref="A7" location="'Page 465'!A1" display="'Page 465'!A1"/>
    <hyperlink ref="A8" location="'Page 467'!A1" display="'Page 467'!A1"/>
    <hyperlink ref="A10" location="'Page 469'!A1" display="'Page 469'!A1"/>
    <hyperlink ref="A11" location="'Page 471'!A1" display="'Page 471'!A1"/>
    <hyperlink ref="A12" location="'Page 473'!A1" display="'Page 473'!A1"/>
    <hyperlink ref="A13" location="'Page 474'!A1" display="'Page 474'!A1"/>
    <hyperlink ref="A14" location="'Page 478'!A1" display="'Page 478'!A1"/>
    <hyperlink ref="A15" location="'Page 479'!A1" display="'Page 479'!A1"/>
    <hyperlink ref="A16" location="'Page 480'!A1" display="'Page 480'!A1"/>
    <hyperlink ref="A17" location="'Page 483'!A1" display="'Page 483'!A1"/>
    <hyperlink ref="A18" location="'Page 485'!A1" display="'Page 485'!A1"/>
    <hyperlink ref="A19" location="'Page 486'!A1" display="'Page 486'!A1"/>
    <hyperlink ref="A20" location="'Pages 487+488'!A1" display="'Pages 487+488'!A1"/>
    <hyperlink ref="A21" location="'Page 489'!A1" display="'Page 489'!A1"/>
    <hyperlink ref="A22" location="'Page 490'!A1" display="'Page 490'!A1"/>
    <hyperlink ref="A23" location="'Page 491'!A1" display="'Page 491'!A1"/>
    <hyperlink ref="A24" location="'Page 492'!A1" display="'Page 492'!A1"/>
    <hyperlink ref="A25" location="'Page 494'!A1" display="'Page 494'!A1"/>
    <hyperlink ref="A26" location="'Page 495'!A1" display="'Page 495'!A1"/>
    <hyperlink ref="A27" location="'Page 496'!A1" display="'Page 496'!A1"/>
    <hyperlink ref="A28" location="'Page 497'!A1" display="'Page 497'!A1"/>
    <hyperlink ref="A29" location="'Page 498'!A1" display="'Page 498'!A1"/>
    <hyperlink ref="A30" location="'Page 499'!A1" display="'Page 499'!A1"/>
    <hyperlink ref="A31" location="'Page 500'!A1" display="'Page 500'!A1"/>
    <hyperlink ref="A9" location="'Page 468'!A1" display="'Page 468'!A1"/>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O206"/>
  <sheetViews>
    <sheetView workbookViewId="0">
      <selection activeCell="B21" sqref="B21"/>
    </sheetView>
  </sheetViews>
  <sheetFormatPr defaultRowHeight="12.75" x14ac:dyDescent="0.2"/>
  <cols>
    <col min="1" max="1" width="10.140625" style="1" bestFit="1" customWidth="1"/>
    <col min="2" max="2" width="16.140625" bestFit="1" customWidth="1"/>
    <col min="3" max="3" width="19.140625" bestFit="1" customWidth="1"/>
    <col min="4" max="4" width="16.140625" customWidth="1"/>
    <col min="13" max="13" width="40.7109375" bestFit="1" customWidth="1"/>
  </cols>
  <sheetData>
    <row r="1" spans="1:15" ht="18" x14ac:dyDescent="0.25">
      <c r="A1" s="259" t="s">
        <v>126</v>
      </c>
      <c r="B1" s="259"/>
      <c r="C1" s="259"/>
      <c r="D1" s="259"/>
      <c r="M1" s="84" t="s">
        <v>114</v>
      </c>
      <c r="N1" s="84"/>
      <c r="O1" s="84"/>
    </row>
    <row r="2" spans="1:15" ht="51" x14ac:dyDescent="0.2">
      <c r="A2" s="69" t="s">
        <v>14</v>
      </c>
      <c r="B2" s="68" t="s">
        <v>345</v>
      </c>
      <c r="C2" s="68" t="s">
        <v>347</v>
      </c>
      <c r="D2" s="68" t="s">
        <v>346</v>
      </c>
      <c r="M2" s="84" t="s">
        <v>115</v>
      </c>
      <c r="N2" s="84"/>
      <c r="O2" s="84"/>
    </row>
    <row r="3" spans="1:15" x14ac:dyDescent="0.2">
      <c r="A3" s="70">
        <v>36891</v>
      </c>
      <c r="B3" s="31">
        <f>VLOOKUP($A3,$M:$O,2,1)</f>
        <v>3413541</v>
      </c>
      <c r="C3" s="71">
        <f>D3-B3</f>
        <v>2248675</v>
      </c>
      <c r="D3" s="31">
        <f>VLOOKUP($A3,$M:$O,3,1)</f>
        <v>5662216</v>
      </c>
      <c r="M3" s="84" t="s">
        <v>116</v>
      </c>
      <c r="N3" s="84"/>
      <c r="O3" s="84"/>
    </row>
    <row r="4" spans="1:15" x14ac:dyDescent="0.2">
      <c r="A4" s="70">
        <v>37256</v>
      </c>
      <c r="B4" s="31">
        <f t="shared" ref="B4:B17" si="0">VLOOKUP($A4,$M:$O,2,1)</f>
        <v>3393758</v>
      </c>
      <c r="C4" s="71">
        <f t="shared" ref="C4:C17" si="1">D4-B4</f>
        <v>2549681</v>
      </c>
      <c r="D4" s="31">
        <f t="shared" ref="D4:D17" si="2">VLOOKUP($A4,$M:$O,3,1)</f>
        <v>5943439</v>
      </c>
      <c r="M4" s="84" t="s">
        <v>117</v>
      </c>
      <c r="N4" s="84"/>
      <c r="O4" s="84"/>
    </row>
    <row r="5" spans="1:15" x14ac:dyDescent="0.2">
      <c r="A5" s="70">
        <v>37621</v>
      </c>
      <c r="B5" s="31">
        <f t="shared" si="0"/>
        <v>3647385</v>
      </c>
      <c r="C5" s="71">
        <f t="shared" si="1"/>
        <v>2758322</v>
      </c>
      <c r="D5" s="31">
        <f t="shared" si="2"/>
        <v>6405707</v>
      </c>
      <c r="M5" s="84" t="s">
        <v>118</v>
      </c>
      <c r="N5" s="84"/>
      <c r="O5" s="84"/>
    </row>
    <row r="6" spans="1:15" x14ac:dyDescent="0.2">
      <c r="A6" s="70">
        <v>37986</v>
      </c>
      <c r="B6" s="31">
        <f t="shared" si="0"/>
        <v>4044054</v>
      </c>
      <c r="C6" s="71">
        <f t="shared" si="1"/>
        <v>2953910</v>
      </c>
      <c r="D6" s="31">
        <f t="shared" si="2"/>
        <v>6997964</v>
      </c>
      <c r="M6" s="84" t="s">
        <v>119</v>
      </c>
      <c r="N6" s="84"/>
      <c r="O6" s="84"/>
    </row>
    <row r="7" spans="1:15" x14ac:dyDescent="0.2">
      <c r="A7" s="70">
        <v>38352</v>
      </c>
      <c r="B7" s="31">
        <f t="shared" si="0"/>
        <v>4406352</v>
      </c>
      <c r="C7" s="71">
        <f t="shared" si="1"/>
        <v>3189791</v>
      </c>
      <c r="D7" s="31">
        <f t="shared" si="2"/>
        <v>7596143</v>
      </c>
    </row>
    <row r="8" spans="1:15" x14ac:dyDescent="0.2">
      <c r="A8" s="70">
        <v>38717</v>
      </c>
      <c r="B8" s="31">
        <f t="shared" si="0"/>
        <v>4714607</v>
      </c>
      <c r="C8" s="71">
        <f t="shared" si="1"/>
        <v>3455806</v>
      </c>
      <c r="D8" s="31">
        <f t="shared" si="2"/>
        <v>8170413</v>
      </c>
      <c r="M8" s="84" t="s">
        <v>120</v>
      </c>
      <c r="N8" s="84" t="s">
        <v>121</v>
      </c>
      <c r="O8" s="84"/>
    </row>
    <row r="9" spans="1:15" x14ac:dyDescent="0.2">
      <c r="A9" s="70">
        <v>39082</v>
      </c>
      <c r="B9" s="31">
        <f t="shared" si="0"/>
        <v>4901208</v>
      </c>
      <c r="C9" s="71">
        <f t="shared" si="1"/>
        <v>3779016</v>
      </c>
      <c r="D9" s="31">
        <f t="shared" si="2"/>
        <v>8680224</v>
      </c>
      <c r="M9" s="84" t="s">
        <v>122</v>
      </c>
      <c r="N9" s="84" t="s">
        <v>123</v>
      </c>
      <c r="O9" s="84"/>
    </row>
    <row r="10" spans="1:15" x14ac:dyDescent="0.2">
      <c r="A10" s="70">
        <v>39447</v>
      </c>
      <c r="B10" s="31">
        <f t="shared" si="0"/>
        <v>5136288</v>
      </c>
      <c r="C10" s="71">
        <f t="shared" si="1"/>
        <v>4092884</v>
      </c>
      <c r="D10" s="31">
        <f t="shared" si="2"/>
        <v>9229172</v>
      </c>
    </row>
    <row r="11" spans="1:15" x14ac:dyDescent="0.2">
      <c r="A11" s="70">
        <v>39813</v>
      </c>
      <c r="B11" s="31">
        <f t="shared" si="0"/>
        <v>6372651</v>
      </c>
      <c r="C11" s="71">
        <f t="shared" si="1"/>
        <v>4327154</v>
      </c>
      <c r="D11" s="31">
        <f t="shared" si="2"/>
        <v>10699805</v>
      </c>
      <c r="M11" s="84" t="s">
        <v>124</v>
      </c>
      <c r="N11" s="84"/>
      <c r="O11" s="84"/>
    </row>
    <row r="12" spans="1:15" x14ac:dyDescent="0.2">
      <c r="A12" s="70">
        <v>40178</v>
      </c>
      <c r="B12" s="31">
        <f t="shared" si="0"/>
        <v>7814359</v>
      </c>
      <c r="C12" s="71">
        <f>D12-B12</f>
        <v>4496990</v>
      </c>
      <c r="D12" s="31">
        <f>VLOOKUP($A12,$M:$O,3,1)</f>
        <v>12311349</v>
      </c>
      <c r="M12" s="84" t="s">
        <v>125</v>
      </c>
      <c r="N12" s="84" t="s">
        <v>120</v>
      </c>
      <c r="O12" s="84" t="s">
        <v>122</v>
      </c>
    </row>
    <row r="13" spans="1:15" x14ac:dyDescent="0.2">
      <c r="A13" s="70">
        <v>40543</v>
      </c>
      <c r="B13" s="31">
        <f t="shared" si="0"/>
        <v>9395411</v>
      </c>
      <c r="C13" s="71">
        <f t="shared" si="1"/>
        <v>4629804</v>
      </c>
      <c r="D13" s="31">
        <f t="shared" si="2"/>
        <v>14025215</v>
      </c>
      <c r="M13" s="85">
        <v>24108</v>
      </c>
      <c r="N13" s="84"/>
      <c r="O13" s="86">
        <v>320999</v>
      </c>
    </row>
    <row r="14" spans="1:15" x14ac:dyDescent="0.2">
      <c r="A14" s="70">
        <v>40908</v>
      </c>
      <c r="B14" s="31">
        <f t="shared" si="0"/>
        <v>10452503</v>
      </c>
      <c r="C14" s="71">
        <f t="shared" si="1"/>
        <v>4770437</v>
      </c>
      <c r="D14" s="31">
        <f t="shared" si="2"/>
        <v>15222940</v>
      </c>
      <c r="M14" s="85">
        <v>24198</v>
      </c>
      <c r="N14" s="84"/>
      <c r="O14" s="86">
        <v>316097</v>
      </c>
    </row>
    <row r="15" spans="1:15" x14ac:dyDescent="0.2">
      <c r="A15" s="70">
        <v>41274</v>
      </c>
      <c r="B15" s="31">
        <f t="shared" si="0"/>
        <v>11586560</v>
      </c>
      <c r="C15" s="71">
        <f t="shared" si="1"/>
        <v>4846169</v>
      </c>
      <c r="D15" s="31">
        <f t="shared" si="2"/>
        <v>16432729</v>
      </c>
      <c r="M15" s="85">
        <v>24289</v>
      </c>
      <c r="N15" s="84"/>
      <c r="O15" s="86">
        <v>324748</v>
      </c>
    </row>
    <row r="16" spans="1:15" x14ac:dyDescent="0.2">
      <c r="A16" s="70">
        <v>41639</v>
      </c>
      <c r="B16" s="31">
        <f t="shared" si="0"/>
        <v>12355194</v>
      </c>
      <c r="C16" s="71">
        <f t="shared" si="1"/>
        <v>4996776</v>
      </c>
      <c r="D16" s="31">
        <f t="shared" si="2"/>
        <v>17351970</v>
      </c>
      <c r="M16" s="85">
        <v>24381</v>
      </c>
      <c r="N16" s="84"/>
      <c r="O16" s="86">
        <v>329319</v>
      </c>
    </row>
    <row r="17" spans="1:15" x14ac:dyDescent="0.2">
      <c r="A17" s="5">
        <v>41881</v>
      </c>
      <c r="B17" s="31">
        <f t="shared" si="0"/>
        <v>12572021</v>
      </c>
      <c r="C17" s="71">
        <f t="shared" si="1"/>
        <v>5060585</v>
      </c>
      <c r="D17" s="31">
        <f t="shared" si="2"/>
        <v>17632606</v>
      </c>
      <c r="M17" s="85">
        <v>24473</v>
      </c>
      <c r="N17" s="84"/>
      <c r="O17" s="86">
        <v>330947</v>
      </c>
    </row>
    <row r="18" spans="1:15" x14ac:dyDescent="0.2">
      <c r="M18" s="85">
        <v>24563</v>
      </c>
      <c r="N18" s="84"/>
      <c r="O18" s="86">
        <v>322893</v>
      </c>
    </row>
    <row r="19" spans="1:15" x14ac:dyDescent="0.2">
      <c r="M19" s="85">
        <v>24654</v>
      </c>
      <c r="N19" s="84"/>
      <c r="O19" s="86">
        <v>335896</v>
      </c>
    </row>
    <row r="20" spans="1:15" x14ac:dyDescent="0.2">
      <c r="M20" s="85">
        <v>24746</v>
      </c>
      <c r="N20" s="84"/>
      <c r="O20" s="86">
        <v>344663</v>
      </c>
    </row>
    <row r="21" spans="1:15" x14ac:dyDescent="0.2">
      <c r="M21" s="85">
        <v>24838</v>
      </c>
      <c r="N21" s="84"/>
      <c r="O21" s="86">
        <v>349473</v>
      </c>
    </row>
    <row r="22" spans="1:15" x14ac:dyDescent="0.2">
      <c r="M22" s="85">
        <v>24929</v>
      </c>
      <c r="N22" s="84"/>
      <c r="O22" s="86">
        <v>345369</v>
      </c>
    </row>
    <row r="23" spans="1:15" x14ac:dyDescent="0.2">
      <c r="M23" s="85">
        <v>25020</v>
      </c>
      <c r="N23" s="84"/>
      <c r="O23" s="86">
        <v>354743</v>
      </c>
    </row>
    <row r="24" spans="1:15" x14ac:dyDescent="0.2">
      <c r="M24" s="85">
        <v>25112</v>
      </c>
      <c r="N24" s="84"/>
      <c r="O24" s="86">
        <v>358029</v>
      </c>
    </row>
    <row r="25" spans="1:15" x14ac:dyDescent="0.2">
      <c r="M25" s="85">
        <v>25204</v>
      </c>
      <c r="N25" s="84"/>
      <c r="O25" s="86">
        <v>359546</v>
      </c>
    </row>
    <row r="26" spans="1:15" x14ac:dyDescent="0.2">
      <c r="M26" s="85">
        <v>25294</v>
      </c>
      <c r="N26" s="84"/>
      <c r="O26" s="86">
        <v>352895</v>
      </c>
    </row>
    <row r="27" spans="1:15" x14ac:dyDescent="0.2">
      <c r="M27" s="85">
        <v>25385</v>
      </c>
      <c r="N27" s="84"/>
      <c r="O27" s="86">
        <v>360685</v>
      </c>
    </row>
    <row r="28" spans="1:15" x14ac:dyDescent="0.2">
      <c r="M28" s="85">
        <v>25477</v>
      </c>
      <c r="N28" s="84"/>
      <c r="O28" s="86">
        <v>368226</v>
      </c>
    </row>
    <row r="29" spans="1:15" x14ac:dyDescent="0.2">
      <c r="M29" s="85">
        <v>25569</v>
      </c>
      <c r="N29" s="86">
        <v>280814</v>
      </c>
      <c r="O29" s="86">
        <v>372007</v>
      </c>
    </row>
    <row r="30" spans="1:15" x14ac:dyDescent="0.2">
      <c r="M30" s="85">
        <v>25659</v>
      </c>
      <c r="N30" s="86">
        <v>274924</v>
      </c>
      <c r="O30" s="86">
        <v>370094</v>
      </c>
    </row>
    <row r="31" spans="1:15" x14ac:dyDescent="0.2">
      <c r="M31" s="85">
        <v>25750</v>
      </c>
      <c r="N31" s="86">
        <v>282367</v>
      </c>
      <c r="O31" s="86">
        <v>378678</v>
      </c>
    </row>
    <row r="32" spans="1:15" x14ac:dyDescent="0.2">
      <c r="M32" s="85">
        <v>25842</v>
      </c>
      <c r="N32" s="86">
        <v>291242</v>
      </c>
      <c r="O32" s="86">
        <v>389158</v>
      </c>
    </row>
    <row r="33" spans="13:15" x14ac:dyDescent="0.2">
      <c r="M33" s="85">
        <v>25934</v>
      </c>
      <c r="N33" s="86">
        <v>292043</v>
      </c>
      <c r="O33" s="86">
        <v>391668</v>
      </c>
    </row>
    <row r="34" spans="13:15" x14ac:dyDescent="0.2">
      <c r="M34" s="85">
        <v>26024</v>
      </c>
      <c r="N34" s="86">
        <v>294417</v>
      </c>
      <c r="O34" s="86">
        <v>397305</v>
      </c>
    </row>
    <row r="35" spans="13:15" x14ac:dyDescent="0.2">
      <c r="M35" s="85">
        <v>26115</v>
      </c>
      <c r="N35" s="86">
        <v>304952</v>
      </c>
      <c r="O35" s="86">
        <v>412268</v>
      </c>
    </row>
    <row r="36" spans="13:15" x14ac:dyDescent="0.2">
      <c r="M36" s="85">
        <v>26207</v>
      </c>
      <c r="N36" s="86">
        <v>317118</v>
      </c>
      <c r="O36" s="86">
        <v>424131</v>
      </c>
    </row>
    <row r="37" spans="13:15" x14ac:dyDescent="0.2">
      <c r="M37" s="85">
        <v>26299</v>
      </c>
      <c r="N37" s="86">
        <v>320987</v>
      </c>
      <c r="O37" s="86">
        <v>427344</v>
      </c>
    </row>
    <row r="38" spans="13:15" x14ac:dyDescent="0.2">
      <c r="M38" s="85">
        <v>26390</v>
      </c>
      <c r="N38" s="86">
        <v>314976</v>
      </c>
      <c r="O38" s="86">
        <v>426435</v>
      </c>
    </row>
    <row r="39" spans="13:15" x14ac:dyDescent="0.2">
      <c r="M39" s="85">
        <v>26481</v>
      </c>
      <c r="N39" s="86">
        <v>319574</v>
      </c>
      <c r="O39" s="86">
        <v>433946</v>
      </c>
    </row>
    <row r="40" spans="13:15" x14ac:dyDescent="0.2">
      <c r="M40" s="85">
        <v>26573</v>
      </c>
      <c r="N40" s="86">
        <v>331576</v>
      </c>
      <c r="O40" s="86">
        <v>448473</v>
      </c>
    </row>
    <row r="41" spans="13:15" x14ac:dyDescent="0.2">
      <c r="M41" s="85">
        <v>26665</v>
      </c>
      <c r="N41" s="86">
        <v>339859</v>
      </c>
      <c r="O41" s="86">
        <v>458606</v>
      </c>
    </row>
    <row r="42" spans="13:15" x14ac:dyDescent="0.2">
      <c r="M42" s="85">
        <v>26755</v>
      </c>
      <c r="N42" s="86">
        <v>333932</v>
      </c>
      <c r="O42" s="86">
        <v>457317</v>
      </c>
    </row>
    <row r="43" spans="13:15" x14ac:dyDescent="0.2">
      <c r="M43" s="85">
        <v>26846</v>
      </c>
      <c r="N43" s="86">
        <v>332838</v>
      </c>
      <c r="O43" s="86">
        <v>460614</v>
      </c>
    </row>
    <row r="44" spans="13:15" x14ac:dyDescent="0.2">
      <c r="M44" s="85">
        <v>26938</v>
      </c>
      <c r="N44" s="86">
        <v>339432</v>
      </c>
      <c r="O44" s="86">
        <v>469073</v>
      </c>
    </row>
    <row r="45" spans="13:15" x14ac:dyDescent="0.2">
      <c r="M45" s="85">
        <v>27030</v>
      </c>
      <c r="N45" s="86">
        <v>342459</v>
      </c>
      <c r="O45" s="86">
        <v>473675</v>
      </c>
    </row>
    <row r="46" spans="13:15" x14ac:dyDescent="0.2">
      <c r="M46" s="85">
        <v>27120</v>
      </c>
      <c r="N46" s="86">
        <v>336029</v>
      </c>
      <c r="O46" s="86">
        <v>474235</v>
      </c>
    </row>
    <row r="47" spans="13:15" x14ac:dyDescent="0.2">
      <c r="M47" s="85">
        <v>27211</v>
      </c>
      <c r="N47" s="86">
        <v>340881</v>
      </c>
      <c r="O47" s="86">
        <v>481466</v>
      </c>
    </row>
    <row r="48" spans="13:15" x14ac:dyDescent="0.2">
      <c r="M48" s="85">
        <v>27303</v>
      </c>
      <c r="N48" s="86">
        <v>351457</v>
      </c>
      <c r="O48" s="86">
        <v>492664</v>
      </c>
    </row>
    <row r="49" spans="13:15" x14ac:dyDescent="0.2">
      <c r="M49" s="85">
        <v>27395</v>
      </c>
      <c r="N49" s="86">
        <v>371201</v>
      </c>
      <c r="O49" s="86">
        <v>509659</v>
      </c>
    </row>
    <row r="50" spans="13:15" x14ac:dyDescent="0.2">
      <c r="M50" s="85">
        <v>27485</v>
      </c>
      <c r="N50" s="86">
        <v>387905</v>
      </c>
      <c r="O50" s="86">
        <v>533188</v>
      </c>
    </row>
    <row r="51" spans="13:15" x14ac:dyDescent="0.2">
      <c r="M51" s="85">
        <v>27576</v>
      </c>
      <c r="N51" s="86">
        <v>411381</v>
      </c>
      <c r="O51" s="86">
        <v>553647</v>
      </c>
    </row>
    <row r="52" spans="13:15" x14ac:dyDescent="0.2">
      <c r="M52" s="85">
        <v>27668</v>
      </c>
      <c r="N52" s="86">
        <v>437305</v>
      </c>
      <c r="O52" s="86">
        <v>576649</v>
      </c>
    </row>
    <row r="53" spans="13:15" x14ac:dyDescent="0.2">
      <c r="M53" s="85">
        <v>27760</v>
      </c>
      <c r="N53" s="86">
        <v>461423</v>
      </c>
      <c r="O53" s="86">
        <v>600490</v>
      </c>
    </row>
    <row r="54" spans="13:15" x14ac:dyDescent="0.2">
      <c r="M54" s="85">
        <v>27851</v>
      </c>
      <c r="N54" s="86">
        <v>470821</v>
      </c>
      <c r="O54" s="86">
        <v>620432</v>
      </c>
    </row>
    <row r="55" spans="13:15" x14ac:dyDescent="0.2">
      <c r="M55" s="85">
        <v>27942</v>
      </c>
      <c r="N55" s="86">
        <v>488327</v>
      </c>
      <c r="O55" s="86">
        <v>634701</v>
      </c>
    </row>
    <row r="56" spans="13:15" x14ac:dyDescent="0.2">
      <c r="M56" s="85">
        <v>28034</v>
      </c>
      <c r="N56" s="86">
        <v>506445</v>
      </c>
      <c r="O56" s="86">
        <v>653543</v>
      </c>
    </row>
    <row r="57" spans="13:15" x14ac:dyDescent="0.2">
      <c r="M57" s="85">
        <v>28126</v>
      </c>
      <c r="N57" s="86">
        <v>524258</v>
      </c>
      <c r="O57" s="86">
        <v>669207</v>
      </c>
    </row>
    <row r="58" spans="13:15" x14ac:dyDescent="0.2">
      <c r="M58" s="85">
        <v>28216</v>
      </c>
      <c r="N58" s="86">
        <v>523221</v>
      </c>
      <c r="O58" s="86">
        <v>674425</v>
      </c>
    </row>
    <row r="59" spans="13:15" x14ac:dyDescent="0.2">
      <c r="M59" s="85">
        <v>28307</v>
      </c>
      <c r="N59" s="86">
        <v>543350</v>
      </c>
      <c r="O59" s="86">
        <v>698840</v>
      </c>
    </row>
    <row r="60" spans="13:15" x14ac:dyDescent="0.2">
      <c r="M60" s="85">
        <v>28399</v>
      </c>
      <c r="N60" s="86">
        <v>564094</v>
      </c>
      <c r="O60" s="86">
        <v>718943</v>
      </c>
    </row>
    <row r="61" spans="13:15" x14ac:dyDescent="0.2">
      <c r="M61" s="85">
        <v>28491</v>
      </c>
      <c r="N61" s="86">
        <v>585233</v>
      </c>
      <c r="O61" s="86">
        <v>737951</v>
      </c>
    </row>
    <row r="62" spans="13:15" x14ac:dyDescent="0.2">
      <c r="M62" s="85">
        <v>28581</v>
      </c>
      <c r="N62" s="86">
        <v>587939</v>
      </c>
      <c r="O62" s="86">
        <v>749024</v>
      </c>
    </row>
    <row r="63" spans="13:15" x14ac:dyDescent="0.2">
      <c r="M63" s="85">
        <v>28672</v>
      </c>
      <c r="N63" s="86">
        <v>603571</v>
      </c>
      <c r="O63" s="86">
        <v>771544</v>
      </c>
    </row>
    <row r="64" spans="13:15" x14ac:dyDescent="0.2">
      <c r="M64" s="85">
        <v>28764</v>
      </c>
      <c r="N64" s="86">
        <v>619207</v>
      </c>
      <c r="O64" s="86">
        <v>789207</v>
      </c>
    </row>
    <row r="65" spans="13:15" x14ac:dyDescent="0.2">
      <c r="M65" s="85">
        <v>28856</v>
      </c>
      <c r="N65" s="86">
        <v>630518</v>
      </c>
      <c r="O65" s="86">
        <v>796792</v>
      </c>
    </row>
    <row r="66" spans="13:15" x14ac:dyDescent="0.2">
      <c r="M66" s="85">
        <v>28946</v>
      </c>
      <c r="N66" s="86">
        <v>626388</v>
      </c>
      <c r="O66" s="86">
        <v>804913</v>
      </c>
    </row>
    <row r="67" spans="13:15" x14ac:dyDescent="0.2">
      <c r="M67" s="85">
        <v>29037</v>
      </c>
      <c r="N67" s="86">
        <v>638836</v>
      </c>
      <c r="O67" s="86">
        <v>826519</v>
      </c>
    </row>
    <row r="68" spans="13:15" x14ac:dyDescent="0.2">
      <c r="M68" s="85">
        <v>29129</v>
      </c>
      <c r="N68" s="86">
        <v>657968</v>
      </c>
      <c r="O68" s="86">
        <v>845116</v>
      </c>
    </row>
    <row r="69" spans="13:15" x14ac:dyDescent="0.2">
      <c r="M69" s="85">
        <v>29221</v>
      </c>
      <c r="N69" s="86">
        <v>667123</v>
      </c>
      <c r="O69" s="86">
        <v>863451</v>
      </c>
    </row>
    <row r="70" spans="13:15" x14ac:dyDescent="0.2">
      <c r="M70" s="85">
        <v>29312</v>
      </c>
      <c r="N70" s="86">
        <v>682710</v>
      </c>
      <c r="O70" s="86">
        <v>877614</v>
      </c>
    </row>
    <row r="71" spans="13:15" x14ac:dyDescent="0.2">
      <c r="M71" s="85">
        <v>29403</v>
      </c>
      <c r="N71" s="86">
        <v>709958</v>
      </c>
      <c r="O71" s="86">
        <v>907701</v>
      </c>
    </row>
    <row r="72" spans="13:15" x14ac:dyDescent="0.2">
      <c r="M72" s="85">
        <v>29495</v>
      </c>
      <c r="N72" s="86">
        <v>737746</v>
      </c>
      <c r="O72" s="86">
        <v>930210</v>
      </c>
    </row>
    <row r="73" spans="13:15" x14ac:dyDescent="0.2">
      <c r="M73" s="85">
        <v>29587</v>
      </c>
      <c r="N73" s="86">
        <v>773676</v>
      </c>
      <c r="O73" s="86">
        <v>964531</v>
      </c>
    </row>
    <row r="74" spans="13:15" x14ac:dyDescent="0.2">
      <c r="M74" s="85">
        <v>29677</v>
      </c>
      <c r="N74" s="86">
        <v>771255</v>
      </c>
      <c r="O74" s="86">
        <v>971174</v>
      </c>
    </row>
    <row r="75" spans="13:15" x14ac:dyDescent="0.2">
      <c r="M75" s="85">
        <v>29768</v>
      </c>
      <c r="N75" s="86">
        <v>789799</v>
      </c>
      <c r="O75" s="86">
        <v>997855</v>
      </c>
    </row>
    <row r="76" spans="13:15" x14ac:dyDescent="0.2">
      <c r="M76" s="85">
        <v>29860</v>
      </c>
      <c r="N76" s="86">
        <v>825509</v>
      </c>
      <c r="O76" s="86">
        <v>1028729</v>
      </c>
    </row>
    <row r="77" spans="13:15" x14ac:dyDescent="0.2">
      <c r="M77" s="85">
        <v>29952</v>
      </c>
      <c r="N77" s="86">
        <v>858888</v>
      </c>
      <c r="O77" s="86">
        <v>1061299</v>
      </c>
    </row>
    <row r="78" spans="13:15" x14ac:dyDescent="0.2">
      <c r="M78" s="85">
        <v>30042</v>
      </c>
      <c r="N78" s="86">
        <v>867916</v>
      </c>
      <c r="O78" s="86">
        <v>1079630</v>
      </c>
    </row>
    <row r="79" spans="13:15" x14ac:dyDescent="0.2">
      <c r="M79" s="85">
        <v>30133</v>
      </c>
      <c r="N79" s="86">
        <v>925631</v>
      </c>
      <c r="O79" s="86">
        <v>1142035</v>
      </c>
    </row>
    <row r="80" spans="13:15" x14ac:dyDescent="0.2">
      <c r="M80" s="85">
        <v>30225</v>
      </c>
      <c r="N80" s="86">
        <v>987719</v>
      </c>
      <c r="O80" s="86">
        <v>1197074</v>
      </c>
    </row>
    <row r="81" spans="13:15" x14ac:dyDescent="0.2">
      <c r="M81" s="85">
        <v>30317</v>
      </c>
      <c r="N81" s="86">
        <v>1043339</v>
      </c>
      <c r="O81" s="86">
        <v>1244493</v>
      </c>
    </row>
    <row r="82" spans="13:15" x14ac:dyDescent="0.2">
      <c r="M82" s="85">
        <v>30407</v>
      </c>
      <c r="N82" s="86">
        <v>1090291</v>
      </c>
      <c r="O82" s="86">
        <v>1319581</v>
      </c>
    </row>
    <row r="83" spans="13:15" x14ac:dyDescent="0.2">
      <c r="M83" s="85">
        <v>30498</v>
      </c>
      <c r="N83" s="86">
        <v>1138188</v>
      </c>
      <c r="O83" s="86">
        <v>1377211</v>
      </c>
    </row>
    <row r="84" spans="13:15" x14ac:dyDescent="0.2">
      <c r="M84" s="85">
        <v>30590</v>
      </c>
      <c r="N84" s="86">
        <v>1174425</v>
      </c>
      <c r="O84" s="86">
        <v>1410702</v>
      </c>
    </row>
    <row r="85" spans="13:15" x14ac:dyDescent="0.2">
      <c r="M85" s="85">
        <v>30682</v>
      </c>
      <c r="N85" s="86">
        <v>1223898</v>
      </c>
      <c r="O85" s="86">
        <v>1463741</v>
      </c>
    </row>
    <row r="86" spans="13:15" x14ac:dyDescent="0.2">
      <c r="M86" s="85">
        <v>30773</v>
      </c>
      <c r="N86" s="86">
        <v>1255100</v>
      </c>
      <c r="O86" s="86">
        <v>1512697</v>
      </c>
    </row>
    <row r="87" spans="13:15" x14ac:dyDescent="0.2">
      <c r="M87" s="85">
        <v>30864</v>
      </c>
      <c r="N87" s="86">
        <v>1309183</v>
      </c>
      <c r="O87" s="86">
        <v>1572267</v>
      </c>
    </row>
    <row r="88" spans="13:15" x14ac:dyDescent="0.2">
      <c r="M88" s="85">
        <v>30956</v>
      </c>
      <c r="N88" s="86">
        <v>1373366</v>
      </c>
      <c r="O88" s="86">
        <v>1662966</v>
      </c>
    </row>
    <row r="89" spans="13:15" x14ac:dyDescent="0.2">
      <c r="M89" s="85">
        <v>31048</v>
      </c>
      <c r="N89" s="86">
        <v>1415232</v>
      </c>
      <c r="O89" s="86">
        <v>1710731</v>
      </c>
    </row>
    <row r="90" spans="13:15" x14ac:dyDescent="0.2">
      <c r="M90" s="85">
        <v>31138</v>
      </c>
      <c r="N90" s="86">
        <v>1460484</v>
      </c>
      <c r="O90" s="86">
        <v>1774640</v>
      </c>
    </row>
    <row r="91" spans="13:15" x14ac:dyDescent="0.2">
      <c r="M91" s="85">
        <v>31229</v>
      </c>
      <c r="N91" s="86">
        <v>1506558</v>
      </c>
      <c r="O91" s="86">
        <v>1823103</v>
      </c>
    </row>
    <row r="92" spans="13:15" x14ac:dyDescent="0.2">
      <c r="M92" s="85">
        <v>31321</v>
      </c>
      <c r="N92" s="86">
        <v>1597083</v>
      </c>
      <c r="O92" s="86">
        <v>1945942</v>
      </c>
    </row>
    <row r="93" spans="13:15" x14ac:dyDescent="0.2">
      <c r="M93" s="85">
        <v>31413</v>
      </c>
      <c r="N93" s="86">
        <v>1634259</v>
      </c>
      <c r="O93" s="86">
        <v>1986816</v>
      </c>
    </row>
    <row r="94" spans="13:15" x14ac:dyDescent="0.2">
      <c r="M94" s="85">
        <v>31503</v>
      </c>
      <c r="N94" s="86">
        <v>1684939</v>
      </c>
      <c r="O94" s="86">
        <v>2059349</v>
      </c>
    </row>
    <row r="95" spans="13:15" x14ac:dyDescent="0.2">
      <c r="M95" s="85">
        <v>31594</v>
      </c>
      <c r="N95" s="86">
        <v>1742445</v>
      </c>
      <c r="O95" s="86">
        <v>2125304</v>
      </c>
    </row>
    <row r="96" spans="13:15" x14ac:dyDescent="0.2">
      <c r="M96" s="85">
        <v>31686</v>
      </c>
      <c r="N96" s="86">
        <v>1811744</v>
      </c>
      <c r="O96" s="86">
        <v>2214835</v>
      </c>
    </row>
    <row r="97" spans="13:15" x14ac:dyDescent="0.2">
      <c r="M97" s="85">
        <v>31778</v>
      </c>
      <c r="N97" s="86">
        <v>1839271</v>
      </c>
      <c r="O97" s="86">
        <v>2246724</v>
      </c>
    </row>
    <row r="98" spans="13:15" x14ac:dyDescent="0.2">
      <c r="M98" s="85">
        <v>31868</v>
      </c>
      <c r="N98" s="86">
        <v>1871150</v>
      </c>
      <c r="O98" s="86">
        <v>2309296</v>
      </c>
    </row>
    <row r="99" spans="13:15" x14ac:dyDescent="0.2">
      <c r="M99" s="85">
        <v>31959</v>
      </c>
      <c r="N99" s="86">
        <v>1893110</v>
      </c>
      <c r="O99" s="86">
        <v>2350277</v>
      </c>
    </row>
    <row r="100" spans="13:15" x14ac:dyDescent="0.2">
      <c r="M100" s="85">
        <v>32051</v>
      </c>
      <c r="N100" s="86">
        <v>1954065</v>
      </c>
      <c r="O100" s="86">
        <v>2431715</v>
      </c>
    </row>
    <row r="101" spans="13:15" x14ac:dyDescent="0.2">
      <c r="M101" s="85">
        <v>32143</v>
      </c>
      <c r="N101" s="86">
        <v>1996711</v>
      </c>
      <c r="O101" s="86">
        <v>2487551</v>
      </c>
    </row>
    <row r="102" spans="13:15" x14ac:dyDescent="0.2">
      <c r="M102" s="85">
        <v>32234</v>
      </c>
      <c r="N102" s="86">
        <v>2013414</v>
      </c>
      <c r="O102" s="86">
        <v>2547656</v>
      </c>
    </row>
    <row r="103" spans="13:15" x14ac:dyDescent="0.2">
      <c r="M103" s="85">
        <v>32325</v>
      </c>
      <c r="N103" s="86">
        <v>2051735</v>
      </c>
      <c r="O103" s="86">
        <v>2602183</v>
      </c>
    </row>
    <row r="104" spans="13:15" x14ac:dyDescent="0.2">
      <c r="M104" s="85">
        <v>32417</v>
      </c>
      <c r="N104" s="86">
        <v>2095179</v>
      </c>
      <c r="O104" s="86">
        <v>2684392</v>
      </c>
    </row>
    <row r="105" spans="13:15" x14ac:dyDescent="0.2">
      <c r="M105" s="85">
        <v>32509</v>
      </c>
      <c r="N105" s="86">
        <v>2133419</v>
      </c>
      <c r="O105" s="86">
        <v>2740898</v>
      </c>
    </row>
    <row r="106" spans="13:15" x14ac:dyDescent="0.2">
      <c r="M106" s="85">
        <v>32599</v>
      </c>
      <c r="N106" s="86">
        <v>2142122</v>
      </c>
      <c r="O106" s="86">
        <v>2799923</v>
      </c>
    </row>
    <row r="107" spans="13:15" x14ac:dyDescent="0.2">
      <c r="M107" s="85">
        <v>32690</v>
      </c>
      <c r="N107" s="86">
        <v>2180726</v>
      </c>
      <c r="O107" s="86">
        <v>2857431</v>
      </c>
    </row>
    <row r="108" spans="13:15" x14ac:dyDescent="0.2">
      <c r="M108" s="85">
        <v>32782</v>
      </c>
      <c r="N108" s="86">
        <v>2245171</v>
      </c>
      <c r="O108" s="86">
        <v>2952994</v>
      </c>
    </row>
    <row r="109" spans="13:15" x14ac:dyDescent="0.2">
      <c r="M109" s="85">
        <v>32874</v>
      </c>
      <c r="N109" s="86">
        <v>2329264</v>
      </c>
      <c r="O109" s="86">
        <v>3051958</v>
      </c>
    </row>
    <row r="110" spans="13:15" x14ac:dyDescent="0.2">
      <c r="M110" s="85">
        <v>32964</v>
      </c>
      <c r="N110" s="86">
        <v>2368772</v>
      </c>
      <c r="O110" s="86">
        <v>3143754</v>
      </c>
    </row>
    <row r="111" spans="13:15" x14ac:dyDescent="0.2">
      <c r="M111" s="85">
        <v>33055</v>
      </c>
      <c r="N111" s="86">
        <v>2437551</v>
      </c>
      <c r="O111" s="86">
        <v>3233313</v>
      </c>
    </row>
    <row r="112" spans="13:15" x14ac:dyDescent="0.2">
      <c r="M112" s="85">
        <v>33147</v>
      </c>
      <c r="N112" s="86">
        <v>2536545</v>
      </c>
      <c r="O112" s="86">
        <v>3364820</v>
      </c>
    </row>
    <row r="113" spans="13:15" x14ac:dyDescent="0.2">
      <c r="M113" s="85">
        <v>33239</v>
      </c>
      <c r="N113" s="86">
        <v>2598351</v>
      </c>
      <c r="O113" s="86">
        <v>3465189</v>
      </c>
    </row>
    <row r="114" spans="13:15" x14ac:dyDescent="0.2">
      <c r="M114" s="85">
        <v>33329</v>
      </c>
      <c r="N114" s="86">
        <v>2642863</v>
      </c>
      <c r="O114" s="86">
        <v>3537988</v>
      </c>
    </row>
    <row r="115" spans="13:15" x14ac:dyDescent="0.2">
      <c r="M115" s="85">
        <v>33420</v>
      </c>
      <c r="N115" s="86">
        <v>2745729</v>
      </c>
      <c r="O115" s="86">
        <v>3665303</v>
      </c>
    </row>
    <row r="116" spans="13:15" x14ac:dyDescent="0.2">
      <c r="M116" s="85">
        <v>33512</v>
      </c>
      <c r="N116" s="86">
        <v>2833034</v>
      </c>
      <c r="O116" s="86">
        <v>3801698</v>
      </c>
    </row>
    <row r="117" spans="13:15" x14ac:dyDescent="0.2">
      <c r="M117" s="85">
        <v>33604</v>
      </c>
      <c r="N117" s="86">
        <v>2917630</v>
      </c>
      <c r="O117" s="86">
        <v>3881288</v>
      </c>
    </row>
    <row r="118" spans="13:15" x14ac:dyDescent="0.2">
      <c r="M118" s="85">
        <v>33695</v>
      </c>
      <c r="N118" s="86">
        <v>2976774</v>
      </c>
      <c r="O118" s="86">
        <v>3984656</v>
      </c>
    </row>
    <row r="119" spans="13:15" x14ac:dyDescent="0.2">
      <c r="M119" s="85">
        <v>33786</v>
      </c>
      <c r="N119" s="86">
        <v>3048291</v>
      </c>
      <c r="O119" s="86">
        <v>4064621</v>
      </c>
    </row>
    <row r="120" spans="13:15" x14ac:dyDescent="0.2">
      <c r="M120" s="85">
        <v>33878</v>
      </c>
      <c r="N120" s="86">
        <v>3129308</v>
      </c>
      <c r="O120" s="86">
        <v>4177009</v>
      </c>
    </row>
    <row r="121" spans="13:15" x14ac:dyDescent="0.2">
      <c r="M121" s="85">
        <v>33970</v>
      </c>
      <c r="N121" s="86">
        <v>3187556</v>
      </c>
      <c r="O121" s="86">
        <v>4230580</v>
      </c>
    </row>
    <row r="122" spans="13:15" x14ac:dyDescent="0.2">
      <c r="M122" s="85">
        <v>34060</v>
      </c>
      <c r="N122" s="86">
        <v>3252285</v>
      </c>
      <c r="O122" s="86">
        <v>4351950</v>
      </c>
    </row>
    <row r="123" spans="13:15" x14ac:dyDescent="0.2">
      <c r="M123" s="85">
        <v>34151</v>
      </c>
      <c r="N123" s="86">
        <v>3294796</v>
      </c>
      <c r="O123" s="86">
        <v>4411489</v>
      </c>
    </row>
    <row r="124" spans="13:15" x14ac:dyDescent="0.2">
      <c r="M124" s="85">
        <v>34243</v>
      </c>
      <c r="N124" s="86">
        <v>3382197</v>
      </c>
      <c r="O124" s="86">
        <v>4535687</v>
      </c>
    </row>
    <row r="125" spans="13:15" x14ac:dyDescent="0.2">
      <c r="M125" s="85">
        <v>34335</v>
      </c>
      <c r="N125" s="86">
        <v>3434208</v>
      </c>
      <c r="O125" s="86">
        <v>4575869</v>
      </c>
    </row>
    <row r="126" spans="13:15" x14ac:dyDescent="0.2">
      <c r="M126" s="85">
        <v>34425</v>
      </c>
      <c r="N126" s="86">
        <v>3442868</v>
      </c>
      <c r="O126" s="86">
        <v>4645802</v>
      </c>
    </row>
    <row r="127" spans="13:15" x14ac:dyDescent="0.2">
      <c r="M127" s="85">
        <v>34516</v>
      </c>
      <c r="N127" s="86">
        <v>3479652</v>
      </c>
      <c r="O127" s="86">
        <v>4692750</v>
      </c>
    </row>
    <row r="128" spans="13:15" x14ac:dyDescent="0.2">
      <c r="M128" s="85">
        <v>34608</v>
      </c>
      <c r="N128" s="86">
        <v>3543118</v>
      </c>
      <c r="O128" s="86">
        <v>4800150</v>
      </c>
    </row>
    <row r="129" spans="13:15" x14ac:dyDescent="0.2">
      <c r="M129" s="85">
        <v>34700</v>
      </c>
      <c r="N129" s="86">
        <v>3609459</v>
      </c>
      <c r="O129" s="86">
        <v>4864116</v>
      </c>
    </row>
    <row r="130" spans="13:15" x14ac:dyDescent="0.2">
      <c r="M130" s="85">
        <v>34790</v>
      </c>
      <c r="N130" s="86">
        <v>3634808</v>
      </c>
      <c r="O130" s="86">
        <v>4951372</v>
      </c>
    </row>
    <row r="131" spans="13:15" x14ac:dyDescent="0.2">
      <c r="M131" s="85">
        <v>34881</v>
      </c>
      <c r="N131" s="86">
        <v>3653199</v>
      </c>
      <c r="O131" s="86">
        <v>4973983</v>
      </c>
    </row>
    <row r="132" spans="13:15" x14ac:dyDescent="0.2">
      <c r="M132" s="85">
        <v>34973</v>
      </c>
      <c r="N132" s="86">
        <v>3684209</v>
      </c>
      <c r="O132" s="86">
        <v>4988665</v>
      </c>
    </row>
    <row r="133" spans="13:15" x14ac:dyDescent="0.2">
      <c r="M133" s="85">
        <v>35065</v>
      </c>
      <c r="N133" s="86">
        <v>3764019</v>
      </c>
      <c r="O133" s="86">
        <v>5117786</v>
      </c>
    </row>
    <row r="134" spans="13:15" x14ac:dyDescent="0.2">
      <c r="M134" s="85">
        <v>35156</v>
      </c>
      <c r="N134" s="86">
        <v>3738633</v>
      </c>
      <c r="O134" s="86">
        <v>5161076</v>
      </c>
    </row>
    <row r="135" spans="13:15" x14ac:dyDescent="0.2">
      <c r="M135" s="85">
        <v>35247</v>
      </c>
      <c r="N135" s="86">
        <v>3777808</v>
      </c>
      <c r="O135" s="86">
        <v>5224811</v>
      </c>
    </row>
    <row r="136" spans="13:15" x14ac:dyDescent="0.2">
      <c r="M136" s="85">
        <v>35339</v>
      </c>
      <c r="N136" s="86">
        <v>3825994</v>
      </c>
      <c r="O136" s="86">
        <v>5323172</v>
      </c>
    </row>
    <row r="137" spans="13:15" x14ac:dyDescent="0.2">
      <c r="M137" s="85">
        <v>35431</v>
      </c>
      <c r="N137" s="86">
        <v>3874106</v>
      </c>
      <c r="O137" s="86">
        <v>5380890</v>
      </c>
    </row>
    <row r="138" spans="13:15" x14ac:dyDescent="0.2">
      <c r="M138" s="85">
        <v>35521</v>
      </c>
      <c r="N138" s="86">
        <v>3804568</v>
      </c>
      <c r="O138" s="86">
        <v>5376151</v>
      </c>
    </row>
    <row r="139" spans="13:15" x14ac:dyDescent="0.2">
      <c r="M139" s="85">
        <v>35612</v>
      </c>
      <c r="N139" s="86">
        <v>3816381</v>
      </c>
      <c r="O139" s="86">
        <v>5413146</v>
      </c>
    </row>
    <row r="140" spans="13:15" x14ac:dyDescent="0.2">
      <c r="M140" s="85">
        <v>35704</v>
      </c>
      <c r="N140" s="86">
        <v>3846706</v>
      </c>
      <c r="O140" s="86">
        <v>5502388</v>
      </c>
    </row>
    <row r="141" spans="13:15" x14ac:dyDescent="0.2">
      <c r="M141" s="85">
        <v>35796</v>
      </c>
      <c r="N141" s="86">
        <v>3872048</v>
      </c>
      <c r="O141" s="86">
        <v>5542426</v>
      </c>
    </row>
    <row r="142" spans="13:15" x14ac:dyDescent="0.2">
      <c r="M142" s="85">
        <v>35886</v>
      </c>
      <c r="N142" s="86">
        <v>3790379</v>
      </c>
      <c r="O142" s="86">
        <v>5547935</v>
      </c>
    </row>
    <row r="143" spans="13:15" x14ac:dyDescent="0.2">
      <c r="M143" s="85">
        <v>35977</v>
      </c>
      <c r="N143" s="86">
        <v>3762333</v>
      </c>
      <c r="O143" s="86">
        <v>5526193</v>
      </c>
    </row>
    <row r="144" spans="13:15" x14ac:dyDescent="0.2">
      <c r="M144" s="85">
        <v>36069</v>
      </c>
      <c r="N144" s="86">
        <v>3787391</v>
      </c>
      <c r="O144" s="86">
        <v>5614217</v>
      </c>
    </row>
    <row r="145" spans="13:15" x14ac:dyDescent="0.2">
      <c r="M145" s="85">
        <v>36161</v>
      </c>
      <c r="N145" s="86">
        <v>3794549</v>
      </c>
      <c r="O145" s="86">
        <v>5651615</v>
      </c>
    </row>
    <row r="146" spans="13:15" x14ac:dyDescent="0.2">
      <c r="M146" s="85">
        <v>36251</v>
      </c>
      <c r="N146" s="86">
        <v>3685167</v>
      </c>
      <c r="O146" s="86">
        <v>5638780</v>
      </c>
    </row>
    <row r="147" spans="13:15" x14ac:dyDescent="0.2">
      <c r="M147" s="85">
        <v>36342</v>
      </c>
      <c r="N147" s="86">
        <v>3667597</v>
      </c>
      <c r="O147" s="86">
        <v>5656271</v>
      </c>
    </row>
    <row r="148" spans="13:15" x14ac:dyDescent="0.2">
      <c r="M148" s="85">
        <v>36434</v>
      </c>
      <c r="N148" s="86">
        <v>3715531</v>
      </c>
      <c r="O148" s="86">
        <v>5776091</v>
      </c>
    </row>
    <row r="149" spans="13:15" x14ac:dyDescent="0.2">
      <c r="M149" s="85">
        <v>36526</v>
      </c>
      <c r="N149" s="86">
        <v>3687974</v>
      </c>
      <c r="O149" s="86">
        <v>5773392</v>
      </c>
    </row>
    <row r="150" spans="13:15" x14ac:dyDescent="0.2">
      <c r="M150" s="85">
        <v>36617</v>
      </c>
      <c r="N150" s="86">
        <v>3495713</v>
      </c>
      <c r="O150" s="86">
        <v>5685938</v>
      </c>
    </row>
    <row r="151" spans="13:15" x14ac:dyDescent="0.2">
      <c r="M151" s="85">
        <v>36708</v>
      </c>
      <c r="N151" s="86">
        <v>3438416</v>
      </c>
      <c r="O151" s="86">
        <v>5674179</v>
      </c>
    </row>
    <row r="152" spans="13:15" x14ac:dyDescent="0.2">
      <c r="M152" s="85">
        <v>36800</v>
      </c>
      <c r="N152" s="86">
        <v>3413541</v>
      </c>
      <c r="O152" s="86">
        <v>5662216</v>
      </c>
    </row>
    <row r="153" spans="13:15" x14ac:dyDescent="0.2">
      <c r="M153" s="85">
        <v>36892</v>
      </c>
      <c r="N153" s="86">
        <v>3434386</v>
      </c>
      <c r="O153" s="86">
        <v>5773740</v>
      </c>
    </row>
    <row r="154" spans="13:15" x14ac:dyDescent="0.2">
      <c r="M154" s="85">
        <v>36982</v>
      </c>
      <c r="N154" s="86">
        <v>3274176</v>
      </c>
      <c r="O154" s="86">
        <v>5726815</v>
      </c>
    </row>
    <row r="155" spans="13:15" x14ac:dyDescent="0.2">
      <c r="M155" s="85">
        <v>37073</v>
      </c>
      <c r="N155" s="86">
        <v>3338707</v>
      </c>
      <c r="O155" s="86">
        <v>5807464</v>
      </c>
    </row>
    <row r="156" spans="13:15" x14ac:dyDescent="0.2">
      <c r="M156" s="85">
        <v>37165</v>
      </c>
      <c r="N156" s="86">
        <v>3393758</v>
      </c>
      <c r="O156" s="86">
        <v>5943439</v>
      </c>
    </row>
    <row r="157" spans="13:15" x14ac:dyDescent="0.2">
      <c r="M157" s="85">
        <v>37257</v>
      </c>
      <c r="N157" s="86">
        <v>3443674</v>
      </c>
      <c r="O157" s="86">
        <v>6006032</v>
      </c>
    </row>
    <row r="158" spans="13:15" x14ac:dyDescent="0.2">
      <c r="M158" s="85">
        <v>37347</v>
      </c>
      <c r="N158" s="86">
        <v>3463544</v>
      </c>
      <c r="O158" s="86">
        <v>6126469</v>
      </c>
    </row>
    <row r="159" spans="13:15" x14ac:dyDescent="0.2">
      <c r="M159" s="85">
        <v>37438</v>
      </c>
      <c r="N159" s="86">
        <v>3552588</v>
      </c>
      <c r="O159" s="86">
        <v>6228236</v>
      </c>
    </row>
    <row r="160" spans="13:15" x14ac:dyDescent="0.2">
      <c r="M160" s="85">
        <v>37530</v>
      </c>
      <c r="N160" s="86">
        <v>3647385</v>
      </c>
      <c r="O160" s="86">
        <v>6405707</v>
      </c>
    </row>
    <row r="161" spans="13:15" x14ac:dyDescent="0.2">
      <c r="M161" s="85">
        <v>37622</v>
      </c>
      <c r="N161" s="86">
        <v>3710779</v>
      </c>
      <c r="O161" s="86">
        <v>6460776</v>
      </c>
    </row>
    <row r="162" spans="13:15" x14ac:dyDescent="0.2">
      <c r="M162" s="85">
        <v>37712</v>
      </c>
      <c r="N162" s="86">
        <v>3816279</v>
      </c>
      <c r="O162" s="86">
        <v>6670121</v>
      </c>
    </row>
    <row r="163" spans="13:15" x14ac:dyDescent="0.2">
      <c r="M163" s="85">
        <v>37803</v>
      </c>
      <c r="N163" s="86">
        <v>3924045</v>
      </c>
      <c r="O163" s="86">
        <v>6783320</v>
      </c>
    </row>
    <row r="164" spans="13:15" x14ac:dyDescent="0.2">
      <c r="M164" s="85">
        <v>37895</v>
      </c>
      <c r="N164" s="86">
        <v>4044054</v>
      </c>
      <c r="O164" s="86">
        <v>6997964</v>
      </c>
    </row>
    <row r="165" spans="13:15" x14ac:dyDescent="0.2">
      <c r="M165" s="85">
        <v>37987</v>
      </c>
      <c r="N165" s="86">
        <v>4176667</v>
      </c>
      <c r="O165" s="86">
        <v>7131068</v>
      </c>
    </row>
    <row r="166" spans="13:15" x14ac:dyDescent="0.2">
      <c r="M166" s="85">
        <v>38078</v>
      </c>
      <c r="N166" s="86">
        <v>4218734</v>
      </c>
      <c r="O166" s="86">
        <v>7274335</v>
      </c>
    </row>
    <row r="167" spans="13:15" x14ac:dyDescent="0.2">
      <c r="M167" s="85">
        <v>38169</v>
      </c>
      <c r="N167" s="86">
        <v>4303366</v>
      </c>
      <c r="O167" s="86">
        <v>7379053</v>
      </c>
    </row>
    <row r="168" spans="13:15" x14ac:dyDescent="0.2">
      <c r="M168" s="85">
        <v>38261</v>
      </c>
      <c r="N168" s="86">
        <v>4406352</v>
      </c>
      <c r="O168" s="86">
        <v>7596143</v>
      </c>
    </row>
    <row r="169" spans="13:15" x14ac:dyDescent="0.2">
      <c r="M169" s="85">
        <v>38353</v>
      </c>
      <c r="N169" s="86">
        <v>4572397</v>
      </c>
      <c r="O169" s="86">
        <v>7776939</v>
      </c>
    </row>
    <row r="170" spans="13:15" x14ac:dyDescent="0.2">
      <c r="M170" s="85">
        <v>38443</v>
      </c>
      <c r="N170" s="86">
        <v>4527630</v>
      </c>
      <c r="O170" s="86">
        <v>7836496</v>
      </c>
    </row>
    <row r="171" spans="13:15" x14ac:dyDescent="0.2">
      <c r="M171" s="85">
        <v>38534</v>
      </c>
      <c r="N171" s="86">
        <v>4601378</v>
      </c>
      <c r="O171" s="86">
        <v>7932710</v>
      </c>
    </row>
    <row r="172" spans="13:15" x14ac:dyDescent="0.2">
      <c r="M172" s="85">
        <v>38626</v>
      </c>
      <c r="N172" s="86">
        <v>4714607</v>
      </c>
      <c r="O172" s="86">
        <v>8170413</v>
      </c>
    </row>
    <row r="173" spans="13:15" x14ac:dyDescent="0.2">
      <c r="M173" s="85">
        <v>38718</v>
      </c>
      <c r="N173" s="86">
        <v>4872804</v>
      </c>
      <c r="O173" s="86">
        <v>8371156</v>
      </c>
    </row>
    <row r="174" spans="13:15" x14ac:dyDescent="0.2">
      <c r="M174" s="85">
        <v>38808</v>
      </c>
      <c r="N174" s="86">
        <v>4797450</v>
      </c>
      <c r="O174" s="86">
        <v>8420042</v>
      </c>
    </row>
    <row r="175" spans="13:15" x14ac:dyDescent="0.2">
      <c r="M175" s="85">
        <v>38899</v>
      </c>
      <c r="N175" s="86">
        <v>4843208</v>
      </c>
      <c r="O175" s="86">
        <v>8506974</v>
      </c>
    </row>
    <row r="176" spans="13:15" x14ac:dyDescent="0.2">
      <c r="M176" s="85">
        <v>38991</v>
      </c>
      <c r="N176" s="86">
        <v>4901208</v>
      </c>
      <c r="O176" s="86">
        <v>8680224</v>
      </c>
    </row>
    <row r="177" spans="13:15" x14ac:dyDescent="0.2">
      <c r="M177" s="85">
        <v>39083</v>
      </c>
      <c r="N177" s="86">
        <v>5054278</v>
      </c>
      <c r="O177" s="86">
        <v>8849665</v>
      </c>
    </row>
    <row r="178" spans="13:15" x14ac:dyDescent="0.2">
      <c r="M178" s="85">
        <v>39173</v>
      </c>
      <c r="N178" s="86">
        <v>4943033</v>
      </c>
      <c r="O178" s="86">
        <v>8867677</v>
      </c>
    </row>
    <row r="179" spans="13:15" x14ac:dyDescent="0.2">
      <c r="M179" s="85">
        <v>39264</v>
      </c>
      <c r="N179" s="86">
        <v>5049242</v>
      </c>
      <c r="O179" s="86">
        <v>9007653</v>
      </c>
    </row>
    <row r="180" spans="13:15" x14ac:dyDescent="0.2">
      <c r="M180" s="85">
        <v>39356</v>
      </c>
      <c r="N180" s="86">
        <v>5136288</v>
      </c>
      <c r="O180" s="86">
        <v>9229172</v>
      </c>
    </row>
    <row r="181" spans="13:15" x14ac:dyDescent="0.2">
      <c r="M181" s="85">
        <v>39448</v>
      </c>
      <c r="N181" s="86">
        <v>5334048</v>
      </c>
      <c r="O181" s="86">
        <v>9437594</v>
      </c>
    </row>
    <row r="182" spans="13:15" x14ac:dyDescent="0.2">
      <c r="M182" s="85">
        <v>39539</v>
      </c>
      <c r="N182" s="86">
        <v>5285025</v>
      </c>
      <c r="O182" s="86">
        <v>9492006</v>
      </c>
    </row>
    <row r="183" spans="13:15" x14ac:dyDescent="0.2">
      <c r="M183" s="85">
        <v>39630</v>
      </c>
      <c r="N183" s="86">
        <v>5814240</v>
      </c>
      <c r="O183" s="86">
        <v>10024725</v>
      </c>
    </row>
    <row r="184" spans="13:15" x14ac:dyDescent="0.2">
      <c r="M184" s="85">
        <v>39722</v>
      </c>
      <c r="N184" s="86">
        <v>6372651</v>
      </c>
      <c r="O184" s="86">
        <v>10699805</v>
      </c>
    </row>
    <row r="185" spans="13:15" x14ac:dyDescent="0.2">
      <c r="M185" s="85">
        <v>39814</v>
      </c>
      <c r="N185" s="86">
        <v>6836338</v>
      </c>
      <c r="O185" s="86">
        <v>11126941</v>
      </c>
    </row>
    <row r="186" spans="13:15" x14ac:dyDescent="0.2">
      <c r="M186" s="85">
        <v>39904</v>
      </c>
      <c r="N186" s="86">
        <v>7176464</v>
      </c>
      <c r="O186" s="86">
        <v>11545275</v>
      </c>
    </row>
    <row r="187" spans="13:15" x14ac:dyDescent="0.2">
      <c r="M187" s="85">
        <v>39995</v>
      </c>
      <c r="N187" s="86">
        <v>7554537</v>
      </c>
      <c r="O187" s="86">
        <v>11909828</v>
      </c>
    </row>
    <row r="188" spans="13:15" x14ac:dyDescent="0.2">
      <c r="M188" s="85">
        <v>40087</v>
      </c>
      <c r="N188" s="86">
        <v>7814359</v>
      </c>
      <c r="O188" s="86">
        <v>12311349</v>
      </c>
    </row>
    <row r="189" spans="13:15" x14ac:dyDescent="0.2">
      <c r="M189" s="85">
        <v>40179</v>
      </c>
      <c r="N189" s="86">
        <v>8294251</v>
      </c>
      <c r="O189" s="86">
        <v>12773123</v>
      </c>
    </row>
    <row r="190" spans="13:15" x14ac:dyDescent="0.2">
      <c r="M190" s="85">
        <v>40269</v>
      </c>
      <c r="N190" s="86">
        <v>8639220</v>
      </c>
      <c r="O190" s="86">
        <v>13201792</v>
      </c>
    </row>
    <row r="191" spans="13:15" x14ac:dyDescent="0.2">
      <c r="M191" s="85">
        <v>40360</v>
      </c>
      <c r="N191" s="86">
        <v>9027611</v>
      </c>
      <c r="O191" s="86">
        <v>13561622</v>
      </c>
    </row>
    <row r="192" spans="13:15" x14ac:dyDescent="0.2">
      <c r="M192" s="85">
        <v>40452</v>
      </c>
      <c r="N192" s="86">
        <v>9395411</v>
      </c>
      <c r="O192" s="86">
        <v>14025215</v>
      </c>
    </row>
    <row r="193" spans="13:15" x14ac:dyDescent="0.2">
      <c r="M193" s="85">
        <v>40544</v>
      </c>
      <c r="N193" s="86">
        <v>9656573</v>
      </c>
      <c r="O193" s="86">
        <v>14270114</v>
      </c>
    </row>
    <row r="194" spans="13:15" x14ac:dyDescent="0.2">
      <c r="M194" s="85">
        <v>40634</v>
      </c>
      <c r="N194" s="86">
        <v>9746879</v>
      </c>
      <c r="O194" s="86">
        <v>14343087</v>
      </c>
    </row>
    <row r="195" spans="13:15" x14ac:dyDescent="0.2">
      <c r="M195" s="85">
        <v>40725</v>
      </c>
      <c r="N195" s="86">
        <v>10132039</v>
      </c>
      <c r="O195" s="86">
        <v>14790340</v>
      </c>
    </row>
    <row r="196" spans="13:15" x14ac:dyDescent="0.2">
      <c r="M196" s="85">
        <v>40817</v>
      </c>
      <c r="N196" s="86">
        <v>10452503</v>
      </c>
      <c r="O196" s="86">
        <v>15222940</v>
      </c>
    </row>
    <row r="197" spans="13:15" x14ac:dyDescent="0.2">
      <c r="M197" s="85">
        <v>40909</v>
      </c>
      <c r="N197" s="86">
        <v>10876394</v>
      </c>
      <c r="O197" s="86">
        <v>15606518</v>
      </c>
    </row>
    <row r="198" spans="13:15" x14ac:dyDescent="0.2">
      <c r="M198" s="85">
        <v>41000</v>
      </c>
      <c r="N198" s="86">
        <v>11048217</v>
      </c>
      <c r="O198" s="86">
        <v>15855037</v>
      </c>
    </row>
    <row r="199" spans="13:15" x14ac:dyDescent="0.2">
      <c r="M199" s="85">
        <v>41091</v>
      </c>
      <c r="N199" s="86">
        <v>11274396</v>
      </c>
      <c r="O199" s="86">
        <v>16066241</v>
      </c>
    </row>
    <row r="200" spans="13:15" x14ac:dyDescent="0.2">
      <c r="M200" s="85">
        <v>41183</v>
      </c>
      <c r="N200" s="86">
        <v>11586560</v>
      </c>
      <c r="O200" s="86">
        <v>16432729</v>
      </c>
    </row>
    <row r="201" spans="13:15" x14ac:dyDescent="0.2">
      <c r="M201" s="85">
        <v>41275</v>
      </c>
      <c r="N201" s="86">
        <v>11922454</v>
      </c>
      <c r="O201" s="86">
        <v>16771378</v>
      </c>
    </row>
    <row r="202" spans="13:15" x14ac:dyDescent="0.2">
      <c r="M202" s="85">
        <v>41365</v>
      </c>
      <c r="N202" s="86">
        <v>11906573</v>
      </c>
      <c r="O202" s="86">
        <v>16738319</v>
      </c>
    </row>
    <row r="203" spans="13:15" x14ac:dyDescent="0.2">
      <c r="M203" s="85">
        <v>41456</v>
      </c>
      <c r="N203" s="86">
        <v>11980978</v>
      </c>
      <c r="O203" s="86">
        <v>16738183</v>
      </c>
    </row>
    <row r="204" spans="13:15" x14ac:dyDescent="0.2">
      <c r="M204" s="85">
        <v>41548</v>
      </c>
      <c r="N204" s="86">
        <v>12355194</v>
      </c>
      <c r="O204" s="86">
        <v>17351970</v>
      </c>
    </row>
    <row r="205" spans="13:15" x14ac:dyDescent="0.2">
      <c r="M205" s="85">
        <v>41640</v>
      </c>
      <c r="N205" s="86">
        <v>12619199</v>
      </c>
      <c r="O205" s="86">
        <v>17601227</v>
      </c>
    </row>
    <row r="206" spans="13:15" x14ac:dyDescent="0.2">
      <c r="M206" s="85">
        <v>41730</v>
      </c>
      <c r="N206" s="86">
        <v>12572021</v>
      </c>
      <c r="O206" s="86">
        <v>17632606</v>
      </c>
    </row>
  </sheetData>
  <mergeCells count="1">
    <mergeCell ref="A1:D1"/>
  </mergeCells>
  <printOptions gridLines="1"/>
  <pageMargins left="0.7" right="0.7" top="0.75" bottom="0.75" header="0.3" footer="0.3"/>
  <pageSetup orientation="portrait" verticalDpi="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C14"/>
  <sheetViews>
    <sheetView workbookViewId="0">
      <selection sqref="A1:C1"/>
    </sheetView>
  </sheetViews>
  <sheetFormatPr defaultRowHeight="12.75" x14ac:dyDescent="0.2"/>
  <cols>
    <col min="1" max="1" width="19" customWidth="1"/>
    <col min="2" max="2" width="16.42578125" customWidth="1"/>
    <col min="3" max="3" width="15.42578125" bestFit="1" customWidth="1"/>
  </cols>
  <sheetData>
    <row r="1" spans="1:3" ht="18" x14ac:dyDescent="0.25">
      <c r="A1" s="260" t="s">
        <v>127</v>
      </c>
      <c r="B1" s="260"/>
      <c r="C1" s="260"/>
    </row>
    <row r="2" spans="1:3" x14ac:dyDescent="0.2">
      <c r="A2" t="s">
        <v>4</v>
      </c>
      <c r="B2" s="12">
        <v>1000</v>
      </c>
    </row>
    <row r="3" spans="1:3" s="84" customFormat="1" x14ac:dyDescent="0.2">
      <c r="B3" s="12"/>
    </row>
    <row r="4" spans="1:3" s="14" customFormat="1" x14ac:dyDescent="0.2">
      <c r="A4" s="54" t="s">
        <v>14</v>
      </c>
      <c r="B4" s="54" t="s">
        <v>96</v>
      </c>
    </row>
    <row r="5" spans="1:3" x14ac:dyDescent="0.2">
      <c r="A5" s="70">
        <v>41988</v>
      </c>
      <c r="B5" s="12">
        <f>-B2</f>
        <v>-1000</v>
      </c>
    </row>
    <row r="6" spans="1:3" x14ac:dyDescent="0.2">
      <c r="A6" s="70">
        <v>42353</v>
      </c>
      <c r="B6" s="12">
        <v>70</v>
      </c>
    </row>
    <row r="7" spans="1:3" x14ac:dyDescent="0.2">
      <c r="A7" s="70">
        <v>42719</v>
      </c>
      <c r="B7" s="12">
        <v>70</v>
      </c>
    </row>
    <row r="8" spans="1:3" x14ac:dyDescent="0.2">
      <c r="A8" s="70">
        <v>43084</v>
      </c>
      <c r="B8" s="12">
        <v>70</v>
      </c>
    </row>
    <row r="9" spans="1:3" x14ac:dyDescent="0.2">
      <c r="A9" s="70">
        <v>43449</v>
      </c>
      <c r="B9" s="12">
        <v>70</v>
      </c>
    </row>
    <row r="10" spans="1:3" x14ac:dyDescent="0.2">
      <c r="A10" s="70">
        <v>43814</v>
      </c>
      <c r="B10" s="12">
        <v>70</v>
      </c>
    </row>
    <row r="11" spans="1:3" x14ac:dyDescent="0.2">
      <c r="A11" s="70">
        <v>44180</v>
      </c>
      <c r="B11" s="12">
        <v>70</v>
      </c>
    </row>
    <row r="12" spans="1:3" x14ac:dyDescent="0.2">
      <c r="A12" s="70">
        <v>44545</v>
      </c>
      <c r="B12" s="12">
        <v>1070</v>
      </c>
    </row>
    <row r="14" spans="1:3" x14ac:dyDescent="0.2">
      <c r="A14" s="55" t="s">
        <v>5</v>
      </c>
      <c r="B14" s="60">
        <f>IRR(B5:B12)</f>
        <v>7.0000000000001616E-2</v>
      </c>
      <c r="C14" t="e">
        <f ca="1">"&lt;-- "&amp;_xlfn.FORMULATEXT(B14)</f>
        <v>#NAME?</v>
      </c>
    </row>
  </sheetData>
  <mergeCells count="1">
    <mergeCell ref="A1:C1"/>
  </mergeCells>
  <phoneticPr fontId="6" type="noConversion"/>
  <printOptions headings="1" gridLines="1"/>
  <pageMargins left="0.75" right="0.75" top="1" bottom="1" header="0.5" footer="0.5"/>
  <pageSetup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G19"/>
  <sheetViews>
    <sheetView topLeftCell="A10" workbookViewId="0">
      <selection activeCell="G7" sqref="G7"/>
    </sheetView>
  </sheetViews>
  <sheetFormatPr defaultRowHeight="12.75" x14ac:dyDescent="0.2"/>
  <cols>
    <col min="1" max="1" width="19.42578125" customWidth="1"/>
    <col min="2" max="2" width="11.5703125" customWidth="1"/>
    <col min="3" max="3" width="22.85546875" bestFit="1" customWidth="1"/>
    <col min="5" max="5" width="15.7109375" customWidth="1"/>
    <col min="6" max="6" width="11.5703125" customWidth="1"/>
    <col min="7" max="7" width="23.42578125" bestFit="1" customWidth="1"/>
  </cols>
  <sheetData>
    <row r="1" spans="1:7" ht="18" customHeight="1" x14ac:dyDescent="0.2">
      <c r="A1" s="261" t="s">
        <v>55</v>
      </c>
      <c r="B1" s="261"/>
      <c r="C1" s="261"/>
      <c r="D1" s="261"/>
      <c r="E1" s="261"/>
      <c r="F1" s="261"/>
      <c r="G1" s="261"/>
    </row>
    <row r="2" spans="1:7" x14ac:dyDescent="0.2">
      <c r="A2" t="s">
        <v>0</v>
      </c>
      <c r="B2" s="10">
        <v>6.5000000000000002E-2</v>
      </c>
    </row>
    <row r="4" spans="1:7" ht="25.5" x14ac:dyDescent="0.2">
      <c r="A4" s="3" t="s">
        <v>1</v>
      </c>
      <c r="B4" s="4" t="s">
        <v>2</v>
      </c>
      <c r="C4" s="3"/>
      <c r="D4" s="3"/>
      <c r="E4" s="4" t="s">
        <v>35</v>
      </c>
      <c r="F4" s="4" t="s">
        <v>3</v>
      </c>
    </row>
    <row r="5" spans="1:7" x14ac:dyDescent="0.2">
      <c r="A5" s="70">
        <f>'Page 463'!A5</f>
        <v>41988</v>
      </c>
      <c r="B5" s="12">
        <v>70</v>
      </c>
      <c r="E5" s="58">
        <v>0</v>
      </c>
      <c r="F5" s="12">
        <f>NPV(E5,$B$5:$B$12)</f>
        <v>1560</v>
      </c>
      <c r="G5" t="e">
        <f ca="1">"&lt;-- "&amp;_xlfn.FORMULATEXT(F5)</f>
        <v>#NAME?</v>
      </c>
    </row>
    <row r="6" spans="1:7" x14ac:dyDescent="0.2">
      <c r="A6" s="70">
        <f>'Page 463'!A6</f>
        <v>42353</v>
      </c>
      <c r="B6" s="12">
        <v>70</v>
      </c>
      <c r="E6" s="58">
        <v>0.01</v>
      </c>
      <c r="F6" s="12">
        <f t="shared" ref="F6:F19" si="0">NPV(E6,$B$5:$B$12)</f>
        <v>1459.1006651061268</v>
      </c>
      <c r="G6" t="e">
        <f ca="1">"&lt;-- "&amp;_xlfn.FORMULATEXT(F6)</f>
        <v>#NAME?</v>
      </c>
    </row>
    <row r="7" spans="1:7" x14ac:dyDescent="0.2">
      <c r="A7" s="70">
        <f>'Page 463'!A7</f>
        <v>42719</v>
      </c>
      <c r="B7" s="12">
        <v>70</v>
      </c>
      <c r="E7" s="58">
        <v>0.02</v>
      </c>
      <c r="F7" s="12">
        <f t="shared" si="0"/>
        <v>1366.2740720247211</v>
      </c>
      <c r="G7" t="e">
        <f ca="1">"&lt;-- "&amp;_xlfn.FORMULATEXT(F7)</f>
        <v>#NAME?</v>
      </c>
    </row>
    <row r="8" spans="1:7" x14ac:dyDescent="0.2">
      <c r="A8" s="70">
        <f>'Page 463'!A8</f>
        <v>43084</v>
      </c>
      <c r="B8" s="12">
        <v>70</v>
      </c>
      <c r="E8" s="58">
        <v>0.03</v>
      </c>
      <c r="F8" s="12">
        <f t="shared" si="0"/>
        <v>1280.7876875814188</v>
      </c>
      <c r="G8" t="e">
        <f ca="1">"&lt;-- "&amp;_xlfn.FORMULATEXT(F8)</f>
        <v>#NAME?</v>
      </c>
    </row>
    <row r="9" spans="1:7" x14ac:dyDescent="0.2">
      <c r="A9" s="70">
        <f>'Page 463'!A9</f>
        <v>43449</v>
      </c>
      <c r="B9" s="12">
        <v>70</v>
      </c>
      <c r="E9" s="58">
        <v>0.04</v>
      </c>
      <c r="F9" s="12">
        <f t="shared" si="0"/>
        <v>1201.9823462485115</v>
      </c>
    </row>
    <row r="10" spans="1:7" x14ac:dyDescent="0.2">
      <c r="A10" s="70">
        <f>'Page 463'!A10</f>
        <v>43814</v>
      </c>
      <c r="B10" s="12">
        <v>70</v>
      </c>
      <c r="E10" s="58">
        <v>0.05</v>
      </c>
      <c r="F10" s="12">
        <f t="shared" si="0"/>
        <v>1129.2642551885247</v>
      </c>
    </row>
    <row r="11" spans="1:7" x14ac:dyDescent="0.2">
      <c r="A11" s="70">
        <f>'Page 463'!A11</f>
        <v>44180</v>
      </c>
      <c r="B11" s="12">
        <v>70</v>
      </c>
      <c r="E11" s="58">
        <v>0.06</v>
      </c>
      <c r="F11" s="12">
        <f t="shared" si="0"/>
        <v>1062.0979381096952</v>
      </c>
    </row>
    <row r="12" spans="1:7" x14ac:dyDescent="0.2">
      <c r="A12" s="70">
        <f>'Page 463'!A12</f>
        <v>44545</v>
      </c>
      <c r="B12" s="12">
        <v>1070</v>
      </c>
      <c r="E12" s="59">
        <v>7.0000000000000007E-2</v>
      </c>
      <c r="F12" s="57">
        <f t="shared" si="0"/>
        <v>999.99999999999955</v>
      </c>
    </row>
    <row r="13" spans="1:7" x14ac:dyDescent="0.2">
      <c r="A13" s="55" t="s">
        <v>20</v>
      </c>
      <c r="B13" s="56">
        <f>NPV(B2,B5:B12)</f>
        <v>1030.4437547970565</v>
      </c>
      <c r="C13" t="e">
        <f ca="1">"&lt;-- "&amp;_xlfn.FORMULATEXT(B13)</f>
        <v>#NAME?</v>
      </c>
      <c r="E13" s="58">
        <v>0.08</v>
      </c>
      <c r="F13" s="12">
        <f t="shared" si="0"/>
        <v>942.53361056274662</v>
      </c>
    </row>
    <row r="14" spans="1:7" x14ac:dyDescent="0.2">
      <c r="A14" s="2"/>
      <c r="B14" s="12"/>
      <c r="E14" s="58">
        <v>0.09</v>
      </c>
      <c r="F14" s="12">
        <f t="shared" si="0"/>
        <v>889.30361770505931</v>
      </c>
    </row>
    <row r="15" spans="1:7" x14ac:dyDescent="0.2">
      <c r="E15" s="58">
        <v>0.1</v>
      </c>
      <c r="F15" s="12">
        <f t="shared" si="0"/>
        <v>839.95221406291955</v>
      </c>
    </row>
    <row r="16" spans="1:7" x14ac:dyDescent="0.2">
      <c r="E16" s="58">
        <v>0.11</v>
      </c>
      <c r="F16" s="12">
        <f t="shared" si="0"/>
        <v>794.15508956291649</v>
      </c>
    </row>
    <row r="17" spans="5:6" x14ac:dyDescent="0.2">
      <c r="E17" s="58">
        <v>0.12</v>
      </c>
      <c r="F17" s="12">
        <f t="shared" si="0"/>
        <v>751.61801165807003</v>
      </c>
    </row>
    <row r="18" spans="5:6" x14ac:dyDescent="0.2">
      <c r="E18" s="58">
        <v>0.13</v>
      </c>
      <c r="F18" s="12">
        <f t="shared" si="0"/>
        <v>712.07378233334634</v>
      </c>
    </row>
    <row r="19" spans="5:6" x14ac:dyDescent="0.2">
      <c r="E19" s="58">
        <v>0.14000000000000001</v>
      </c>
      <c r="F19" s="12">
        <f t="shared" si="0"/>
        <v>675.27952742538002</v>
      </c>
    </row>
  </sheetData>
  <mergeCells count="1">
    <mergeCell ref="A1:G1"/>
  </mergeCells>
  <phoneticPr fontId="6" type="noConversion"/>
  <printOptions headings="1" gridLines="1"/>
  <pageMargins left="0.75" right="0.75" top="1" bottom="1" header="0.5" footer="0.5"/>
  <pageSetup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H13"/>
  <sheetViews>
    <sheetView workbookViewId="0">
      <selection activeCell="E20" sqref="E20"/>
    </sheetView>
  </sheetViews>
  <sheetFormatPr defaultRowHeight="12.75" outlineLevelRow="1" x14ac:dyDescent="0.2"/>
  <cols>
    <col min="1" max="1" width="9.7109375" customWidth="1"/>
    <col min="2" max="2" width="9.7109375" bestFit="1" customWidth="1"/>
    <col min="3" max="8" width="15" customWidth="1"/>
  </cols>
  <sheetData>
    <row r="1" spans="1:8" ht="15.75" x14ac:dyDescent="0.25">
      <c r="A1" s="262" t="s">
        <v>129</v>
      </c>
      <c r="B1" s="262"/>
      <c r="C1" s="262"/>
      <c r="D1" s="262"/>
      <c r="E1" s="262"/>
      <c r="F1" s="262"/>
      <c r="G1" s="262"/>
      <c r="H1" s="262"/>
    </row>
    <row r="2" spans="1:8" x14ac:dyDescent="0.2">
      <c r="A2" s="89"/>
      <c r="B2" s="89"/>
      <c r="C2" s="89"/>
      <c r="D2" s="89"/>
      <c r="E2" s="89"/>
      <c r="F2" s="89"/>
      <c r="G2" s="89"/>
      <c r="H2" s="89"/>
    </row>
    <row r="3" spans="1:8" s="28" customFormat="1" x14ac:dyDescent="0.2">
      <c r="A3" s="87">
        <v>42139</v>
      </c>
      <c r="B3" s="87">
        <v>42353</v>
      </c>
      <c r="C3" s="87">
        <v>42719</v>
      </c>
      <c r="D3" s="87">
        <v>43084</v>
      </c>
      <c r="E3" s="87">
        <v>43449</v>
      </c>
      <c r="F3" s="87">
        <v>43814</v>
      </c>
      <c r="G3" s="87">
        <v>44180</v>
      </c>
      <c r="H3" s="87">
        <v>44545</v>
      </c>
    </row>
    <row r="4" spans="1:8" x14ac:dyDescent="0.2">
      <c r="A4" s="89"/>
      <c r="B4" s="89"/>
      <c r="C4" s="89"/>
      <c r="D4" s="89"/>
      <c r="E4" s="89"/>
      <c r="F4" s="89"/>
      <c r="G4" s="89"/>
      <c r="H4" s="89"/>
    </row>
    <row r="5" spans="1:8" s="28" customFormat="1" x14ac:dyDescent="0.2">
      <c r="A5" s="90">
        <v>-1050</v>
      </c>
      <c r="B5" s="88">
        <v>70</v>
      </c>
      <c r="C5" s="88">
        <v>70</v>
      </c>
      <c r="D5" s="88">
        <v>70</v>
      </c>
      <c r="E5" s="88">
        <v>70</v>
      </c>
      <c r="F5" s="88">
        <v>70</v>
      </c>
      <c r="G5" s="88">
        <v>70</v>
      </c>
      <c r="H5" s="90">
        <v>1070</v>
      </c>
    </row>
    <row r="6" spans="1:8" x14ac:dyDescent="0.2">
      <c r="A6" s="89"/>
      <c r="B6" s="89"/>
      <c r="C6" s="89"/>
      <c r="D6" s="89"/>
      <c r="E6" s="89"/>
      <c r="F6" s="89"/>
      <c r="G6" s="89"/>
      <c r="H6" s="89"/>
    </row>
    <row r="7" spans="1:8" x14ac:dyDescent="0.2">
      <c r="A7" s="89"/>
      <c r="B7" s="89"/>
      <c r="C7" s="89"/>
      <c r="D7" s="89"/>
      <c r="E7" s="89"/>
      <c r="F7" s="89"/>
      <c r="G7" s="89"/>
      <c r="H7" s="89"/>
    </row>
    <row r="8" spans="1:8" x14ac:dyDescent="0.2">
      <c r="A8" s="89"/>
      <c r="B8" s="89"/>
      <c r="C8" s="89"/>
      <c r="D8" s="89"/>
      <c r="E8" s="89"/>
      <c r="F8" s="89"/>
      <c r="G8" s="89"/>
      <c r="H8" s="89"/>
    </row>
    <row r="9" spans="1:8" x14ac:dyDescent="0.2">
      <c r="A9" s="89"/>
      <c r="B9" s="89"/>
      <c r="C9" s="89"/>
      <c r="D9" s="89"/>
      <c r="E9" s="89"/>
      <c r="F9" s="89"/>
      <c r="G9" s="89"/>
      <c r="H9" s="89"/>
    </row>
    <row r="10" spans="1:8" hidden="1" outlineLevel="1" x14ac:dyDescent="0.2">
      <c r="A10" t="s">
        <v>128</v>
      </c>
      <c r="B10">
        <f t="shared" ref="B10:H10" si="0">B3-A3</f>
        <v>214</v>
      </c>
      <c r="C10" s="84">
        <f t="shared" si="0"/>
        <v>366</v>
      </c>
      <c r="D10" s="84">
        <f t="shared" si="0"/>
        <v>365</v>
      </c>
      <c r="E10" s="84">
        <f t="shared" si="0"/>
        <v>365</v>
      </c>
      <c r="F10" s="84">
        <f t="shared" si="0"/>
        <v>365</v>
      </c>
      <c r="G10" s="84">
        <f t="shared" si="0"/>
        <v>366</v>
      </c>
      <c r="H10" s="84">
        <f t="shared" si="0"/>
        <v>365</v>
      </c>
    </row>
    <row r="11" spans="1:8" collapsed="1" x14ac:dyDescent="0.2"/>
    <row r="13" spans="1:8" x14ac:dyDescent="0.2">
      <c r="G13" s="8"/>
    </row>
  </sheetData>
  <mergeCells count="1">
    <mergeCell ref="A1:H1"/>
  </mergeCells>
  <phoneticPr fontId="6" type="noConversion"/>
  <pageMargins left="0.75" right="0.75" top="1" bottom="1" header="0.5" footer="0.5"/>
  <pageSetup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C16"/>
  <sheetViews>
    <sheetView workbookViewId="0">
      <selection activeCell="B14" sqref="B14"/>
    </sheetView>
  </sheetViews>
  <sheetFormatPr defaultRowHeight="12.75" x14ac:dyDescent="0.2"/>
  <cols>
    <col min="1" max="1" width="18" customWidth="1"/>
    <col min="2" max="2" width="17.85546875" customWidth="1"/>
    <col min="3" max="3" width="23.42578125" bestFit="1" customWidth="1"/>
    <col min="4" max="4" width="4.85546875" customWidth="1"/>
  </cols>
  <sheetData>
    <row r="1" spans="1:3" ht="36.75" customHeight="1" x14ac:dyDescent="0.2">
      <c r="A1" s="261" t="s">
        <v>130</v>
      </c>
      <c r="B1" s="263"/>
      <c r="C1" s="263"/>
    </row>
    <row r="2" spans="1:3" x14ac:dyDescent="0.2">
      <c r="A2" t="s">
        <v>4</v>
      </c>
      <c r="B2" s="12">
        <v>1050</v>
      </c>
    </row>
    <row r="4" spans="1:3" x14ac:dyDescent="0.2">
      <c r="A4" s="3" t="s">
        <v>14</v>
      </c>
      <c r="B4" s="4" t="s">
        <v>96</v>
      </c>
    </row>
    <row r="5" spans="1:3" x14ac:dyDescent="0.2">
      <c r="A5" s="70">
        <v>42139</v>
      </c>
      <c r="B5" s="12">
        <f>-B2</f>
        <v>-1050</v>
      </c>
    </row>
    <row r="6" spans="1:3" x14ac:dyDescent="0.2">
      <c r="A6" s="70">
        <f>'Page 463'!A6</f>
        <v>42353</v>
      </c>
      <c r="B6" s="12">
        <v>70</v>
      </c>
    </row>
    <row r="7" spans="1:3" x14ac:dyDescent="0.2">
      <c r="A7" s="70">
        <f>'Page 463'!A7</f>
        <v>42719</v>
      </c>
      <c r="B7" s="12">
        <v>70</v>
      </c>
    </row>
    <row r="8" spans="1:3" x14ac:dyDescent="0.2">
      <c r="A8" s="70">
        <f>'Page 463'!A8</f>
        <v>43084</v>
      </c>
      <c r="B8" s="12">
        <v>70</v>
      </c>
    </row>
    <row r="9" spans="1:3" x14ac:dyDescent="0.2">
      <c r="A9" s="70">
        <f>'Page 463'!A9</f>
        <v>43449</v>
      </c>
      <c r="B9" s="12">
        <v>70</v>
      </c>
    </row>
    <row r="10" spans="1:3" x14ac:dyDescent="0.2">
      <c r="A10" s="70">
        <f>'Page 463'!A10</f>
        <v>43814</v>
      </c>
      <c r="B10" s="12">
        <v>70</v>
      </c>
    </row>
    <row r="11" spans="1:3" x14ac:dyDescent="0.2">
      <c r="A11" s="70">
        <f>'Page 463'!A11</f>
        <v>44180</v>
      </c>
      <c r="B11" s="12">
        <v>70</v>
      </c>
    </row>
    <row r="12" spans="1:3" x14ac:dyDescent="0.2">
      <c r="A12" s="70">
        <f>'Page 463'!A12</f>
        <v>44545</v>
      </c>
      <c r="B12" s="12">
        <v>1070</v>
      </c>
    </row>
    <row r="14" spans="1:3" x14ac:dyDescent="0.2">
      <c r="A14" s="61" t="s">
        <v>5</v>
      </c>
      <c r="B14" s="29">
        <f>XIRR(B5:B12,A5:A12)</f>
        <v>6.5799018740653983E-2</v>
      </c>
      <c r="C14" t="e">
        <f ca="1">"&lt;-- "&amp;_xlfn.FORMULATEXT(B14)</f>
        <v>#NAME?</v>
      </c>
    </row>
    <row r="16" spans="1:3" x14ac:dyDescent="0.2">
      <c r="B16" s="10"/>
    </row>
  </sheetData>
  <mergeCells count="1">
    <mergeCell ref="A1:C1"/>
  </mergeCells>
  <phoneticPr fontId="6" type="noConversion"/>
  <printOptions headings="1" gridLines="1"/>
  <pageMargins left="0.75" right="0.75" top="1" bottom="1" header="0.5" footer="0.5"/>
  <pageSetup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E27"/>
  <sheetViews>
    <sheetView workbookViewId="0">
      <selection activeCell="C24" sqref="C24"/>
    </sheetView>
  </sheetViews>
  <sheetFormatPr defaultRowHeight="12.75" x14ac:dyDescent="0.2"/>
  <cols>
    <col min="1" max="1" width="26.85546875" bestFit="1" customWidth="1"/>
    <col min="2" max="2" width="18.42578125" bestFit="1" customWidth="1"/>
    <col min="3" max="3" width="26.140625" customWidth="1"/>
  </cols>
  <sheetData>
    <row r="1" spans="1:5" ht="18" x14ac:dyDescent="0.2">
      <c r="A1" s="261" t="s">
        <v>97</v>
      </c>
      <c r="B1" s="261"/>
      <c r="C1" s="261"/>
    </row>
    <row r="2" spans="1:5" x14ac:dyDescent="0.2">
      <c r="A2" t="s">
        <v>4</v>
      </c>
      <c r="B2" s="18">
        <v>1000</v>
      </c>
    </row>
    <row r="4" spans="1:5" s="28" customFormat="1" ht="25.5" x14ac:dyDescent="0.2">
      <c r="A4" s="62" t="s">
        <v>14</v>
      </c>
      <c r="B4" s="54" t="s">
        <v>132</v>
      </c>
      <c r="C4" s="63"/>
    </row>
    <row r="5" spans="1:5" x14ac:dyDescent="0.2">
      <c r="A5" s="91">
        <v>41988</v>
      </c>
      <c r="B5" s="12">
        <f>-B2</f>
        <v>-1000</v>
      </c>
      <c r="C5" t="e">
        <f ca="1">"&lt;-- "&amp;_xlfn.FORMULATEXT(B5)</f>
        <v>#NAME?</v>
      </c>
    </row>
    <row r="6" spans="1:5" x14ac:dyDescent="0.2">
      <c r="A6" s="91">
        <v>42170</v>
      </c>
      <c r="B6" s="12">
        <v>35</v>
      </c>
      <c r="E6" s="23"/>
    </row>
    <row r="7" spans="1:5" x14ac:dyDescent="0.2">
      <c r="A7" s="91">
        <v>42353</v>
      </c>
      <c r="B7" s="12">
        <v>35</v>
      </c>
      <c r="E7" s="23"/>
    </row>
    <row r="8" spans="1:5" x14ac:dyDescent="0.2">
      <c r="A8" s="91">
        <v>42536</v>
      </c>
      <c r="B8" s="12">
        <v>35</v>
      </c>
      <c r="E8" s="23"/>
    </row>
    <row r="9" spans="1:5" x14ac:dyDescent="0.2">
      <c r="A9" s="91">
        <v>42719</v>
      </c>
      <c r="B9" s="12">
        <v>35</v>
      </c>
      <c r="E9" s="23"/>
    </row>
    <row r="10" spans="1:5" x14ac:dyDescent="0.2">
      <c r="A10" s="91">
        <v>42901</v>
      </c>
      <c r="B10" s="12">
        <v>35</v>
      </c>
      <c r="E10" s="23"/>
    </row>
    <row r="11" spans="1:5" x14ac:dyDescent="0.2">
      <c r="A11" s="91">
        <v>43084</v>
      </c>
      <c r="B11" s="12">
        <v>35</v>
      </c>
      <c r="E11" s="23"/>
    </row>
    <row r="12" spans="1:5" x14ac:dyDescent="0.2">
      <c r="A12" s="91">
        <v>43266</v>
      </c>
      <c r="B12" s="12">
        <v>35</v>
      </c>
      <c r="E12" s="23"/>
    </row>
    <row r="13" spans="1:5" x14ac:dyDescent="0.2">
      <c r="A13" s="91">
        <v>43449</v>
      </c>
      <c r="B13" s="12">
        <v>35</v>
      </c>
      <c r="E13" s="23"/>
    </row>
    <row r="14" spans="1:5" x14ac:dyDescent="0.2">
      <c r="A14" s="91">
        <v>43631</v>
      </c>
      <c r="B14" s="12">
        <v>35</v>
      </c>
      <c r="E14" s="23"/>
    </row>
    <row r="15" spans="1:5" x14ac:dyDescent="0.2">
      <c r="A15" s="91">
        <v>43814</v>
      </c>
      <c r="B15" s="12">
        <v>35</v>
      </c>
      <c r="E15" s="23"/>
    </row>
    <row r="16" spans="1:5" x14ac:dyDescent="0.2">
      <c r="A16" s="91">
        <v>43997</v>
      </c>
      <c r="B16" s="12">
        <v>35</v>
      </c>
      <c r="E16" s="23"/>
    </row>
    <row r="17" spans="1:5" x14ac:dyDescent="0.2">
      <c r="A17" s="91">
        <v>44180</v>
      </c>
      <c r="B17" s="12">
        <v>35</v>
      </c>
      <c r="E17" s="23"/>
    </row>
    <row r="18" spans="1:5" x14ac:dyDescent="0.2">
      <c r="A18" s="91">
        <v>44362</v>
      </c>
      <c r="B18" s="12">
        <v>35</v>
      </c>
      <c r="E18" s="23"/>
    </row>
    <row r="19" spans="1:5" x14ac:dyDescent="0.2">
      <c r="A19" s="91">
        <v>44545</v>
      </c>
      <c r="B19" s="12">
        <v>1035</v>
      </c>
      <c r="E19" s="23"/>
    </row>
    <row r="20" spans="1:5" x14ac:dyDescent="0.2">
      <c r="A20" s="28"/>
      <c r="B20" s="12"/>
      <c r="E20" s="23"/>
    </row>
    <row r="21" spans="1:5" x14ac:dyDescent="0.2">
      <c r="A21" t="s">
        <v>98</v>
      </c>
      <c r="B21" s="29">
        <f>IRR(B5:B19)</f>
        <v>3.4999999999996367E-2</v>
      </c>
      <c r="C21" t="e">
        <f ca="1">"&lt;-- "&amp;_xlfn.FORMULATEXT(B21)</f>
        <v>#NAME?</v>
      </c>
      <c r="E21" s="23"/>
    </row>
    <row r="22" spans="1:5" ht="25.5" x14ac:dyDescent="0.2">
      <c r="A22" s="13" t="s">
        <v>131</v>
      </c>
      <c r="B22" s="24">
        <f>(1+B21)^2-1</f>
        <v>7.1224999999992544E-2</v>
      </c>
      <c r="C22" t="e">
        <f ca="1">"&lt;-- "&amp;_xlfn.FORMULATEXT(B22)</f>
        <v>#NAME?</v>
      </c>
      <c r="E22" s="23"/>
    </row>
    <row r="23" spans="1:5" x14ac:dyDescent="0.2">
      <c r="E23" s="23"/>
    </row>
    <row r="24" spans="1:5" x14ac:dyDescent="0.2">
      <c r="A24" s="31" t="s">
        <v>68</v>
      </c>
      <c r="B24" s="64">
        <f>XIRR(B5:B19,A5:A19)</f>
        <v>7.1169832348823556E-2</v>
      </c>
      <c r="C24" t="e">
        <f ca="1">"&lt;-- "&amp;_xlfn.FORMULATEXT(B24)</f>
        <v>#NAME?</v>
      </c>
      <c r="E24" s="23"/>
    </row>
    <row r="25" spans="1:5" x14ac:dyDescent="0.2">
      <c r="E25" s="23"/>
    </row>
    <row r="26" spans="1:5" x14ac:dyDescent="0.2">
      <c r="E26" s="23"/>
    </row>
    <row r="27" spans="1:5" x14ac:dyDescent="0.2">
      <c r="E27" s="23"/>
    </row>
  </sheetData>
  <mergeCells count="1">
    <mergeCell ref="A1:C1"/>
  </mergeCells>
  <phoneticPr fontId="6" type="noConversion"/>
  <printOptions headings="1" gridLines="1"/>
  <pageMargins left="0.75" right="0.75" top="1" bottom="1" header="0.5" footer="0.5"/>
  <pageSetup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E22"/>
  <sheetViews>
    <sheetView workbookViewId="0">
      <selection activeCell="E21" sqref="E21"/>
    </sheetView>
  </sheetViews>
  <sheetFormatPr defaultRowHeight="12.75" x14ac:dyDescent="0.2"/>
  <cols>
    <col min="1" max="1" width="27.42578125" customWidth="1"/>
    <col min="2" max="2" width="10.85546875" customWidth="1"/>
    <col min="3" max="3" width="28.7109375" customWidth="1"/>
    <col min="4" max="4" width="5.42578125" customWidth="1"/>
    <col min="5" max="5" width="10.140625" bestFit="1" customWidth="1"/>
  </cols>
  <sheetData>
    <row r="1" spans="1:5" ht="18.75" customHeight="1" x14ac:dyDescent="0.2">
      <c r="A1" s="261" t="s">
        <v>62</v>
      </c>
      <c r="B1" s="261"/>
      <c r="C1" s="261"/>
      <c r="D1" s="261"/>
      <c r="E1" s="261"/>
    </row>
    <row r="2" spans="1:5" x14ac:dyDescent="0.2">
      <c r="A2" t="s">
        <v>57</v>
      </c>
      <c r="B2" s="1">
        <v>42097</v>
      </c>
    </row>
    <row r="3" spans="1:5" x14ac:dyDescent="0.2">
      <c r="A3" t="s">
        <v>95</v>
      </c>
      <c r="B3" s="1">
        <v>41988</v>
      </c>
      <c r="C3" t="s">
        <v>59</v>
      </c>
      <c r="D3" s="32">
        <f>B2-B3</f>
        <v>109</v>
      </c>
      <c r="E3" t="e">
        <f ca="1">"&lt;-- "&amp;_xlfn.FORMULATEXT(D3)</f>
        <v>#NAME?</v>
      </c>
    </row>
    <row r="4" spans="1:5" x14ac:dyDescent="0.2">
      <c r="A4" t="s">
        <v>23</v>
      </c>
      <c r="B4" s="1">
        <v>42353</v>
      </c>
      <c r="C4" t="s">
        <v>60</v>
      </c>
      <c r="D4" s="32">
        <f>B4-B3</f>
        <v>365</v>
      </c>
      <c r="E4" t="e">
        <f ca="1">"&lt;-- "&amp;_xlfn.FORMULATEXT(D4)</f>
        <v>#NAME?</v>
      </c>
    </row>
    <row r="5" spans="1:5" x14ac:dyDescent="0.2">
      <c r="A5" t="s">
        <v>58</v>
      </c>
      <c r="B5" s="18">
        <v>70</v>
      </c>
    </row>
    <row r="6" spans="1:5" x14ac:dyDescent="0.2">
      <c r="B6" s="1"/>
    </row>
    <row r="7" spans="1:5" x14ac:dyDescent="0.2">
      <c r="A7" t="s">
        <v>56</v>
      </c>
      <c r="B7" s="18">
        <v>1050</v>
      </c>
    </row>
    <row r="8" spans="1:5" x14ac:dyDescent="0.2">
      <c r="A8" t="s">
        <v>18</v>
      </c>
      <c r="B8" s="33">
        <f>B5*D3/D4</f>
        <v>20.904109589041095</v>
      </c>
      <c r="C8" t="e">
        <f ca="1">"&lt;-- "&amp;_xlfn.FORMULATEXT(B8)</f>
        <v>#NAME?</v>
      </c>
    </row>
    <row r="9" spans="1:5" x14ac:dyDescent="0.2">
      <c r="A9" t="s">
        <v>61</v>
      </c>
      <c r="B9" s="18">
        <f>B7+B8</f>
        <v>1070.9041095890411</v>
      </c>
      <c r="C9" t="e">
        <f ca="1">"&lt;-- "&amp;_xlfn.FORMULATEXT(B9)</f>
        <v>#NAME?</v>
      </c>
    </row>
    <row r="11" spans="1:5" ht="25.5" x14ac:dyDescent="0.2">
      <c r="A11" s="3" t="s">
        <v>1</v>
      </c>
      <c r="B11" s="4" t="s">
        <v>99</v>
      </c>
    </row>
    <row r="12" spans="1:5" x14ac:dyDescent="0.2">
      <c r="A12" s="5">
        <f>B2</f>
        <v>42097</v>
      </c>
      <c r="B12" s="12">
        <f>-B9</f>
        <v>-1070.9041095890411</v>
      </c>
    </row>
    <row r="13" spans="1:5" x14ac:dyDescent="0.2">
      <c r="A13" s="5">
        <f>'Page 464'!A6</f>
        <v>42353</v>
      </c>
      <c r="B13" s="12">
        <v>70</v>
      </c>
    </row>
    <row r="14" spans="1:5" x14ac:dyDescent="0.2">
      <c r="A14" s="5">
        <f>'Page 464'!A7</f>
        <v>42719</v>
      </c>
      <c r="B14" s="12">
        <v>70</v>
      </c>
    </row>
    <row r="15" spans="1:5" x14ac:dyDescent="0.2">
      <c r="A15" s="5">
        <f>'Page 464'!A8</f>
        <v>43084</v>
      </c>
      <c r="B15" s="12">
        <v>70</v>
      </c>
    </row>
    <row r="16" spans="1:5" x14ac:dyDescent="0.2">
      <c r="A16" s="5">
        <f>'Page 464'!A9</f>
        <v>43449</v>
      </c>
      <c r="B16" s="12">
        <v>70</v>
      </c>
    </row>
    <row r="17" spans="1:3" x14ac:dyDescent="0.2">
      <c r="A17" s="5">
        <f>'Page 464'!A10</f>
        <v>43814</v>
      </c>
      <c r="B17" s="12">
        <v>70</v>
      </c>
    </row>
    <row r="18" spans="1:3" x14ac:dyDescent="0.2">
      <c r="A18" s="5">
        <f>'Page 464'!A11</f>
        <v>44180</v>
      </c>
      <c r="B18" s="12">
        <v>70</v>
      </c>
    </row>
    <row r="19" spans="1:3" x14ac:dyDescent="0.2">
      <c r="A19" s="5">
        <f>'Page 464'!A12</f>
        <v>44545</v>
      </c>
      <c r="B19" s="12">
        <v>1070</v>
      </c>
    </row>
    <row r="21" spans="1:3" x14ac:dyDescent="0.2">
      <c r="A21" t="s">
        <v>65</v>
      </c>
      <c r="B21" s="29">
        <f>XIRR(B12:B19,A12:A19)</f>
        <v>6.0568645596504211E-2</v>
      </c>
      <c r="C21" t="e">
        <f ca="1">"&lt;-- "&amp;_xlfn.FORMULATEXT(B21)</f>
        <v>#NAME?</v>
      </c>
    </row>
    <row r="22" spans="1:3" x14ac:dyDescent="0.2">
      <c r="A22" t="s">
        <v>64</v>
      </c>
      <c r="B22" s="24">
        <f>YIELD(A12,A19,7%,105,100,1,3)</f>
        <v>6.0620117857737424E-2</v>
      </c>
      <c r="C22" t="e">
        <f ca="1">"&lt;-- "&amp;_xlfn.FORMULATEXT(B22)</f>
        <v>#NAME?</v>
      </c>
    </row>
  </sheetData>
  <mergeCells count="1">
    <mergeCell ref="A1:E1"/>
  </mergeCells>
  <phoneticPr fontId="6" type="noConversion"/>
  <printOptions headings="1" gridLines="1"/>
  <pageMargins left="0.75" right="0.75" top="1" bottom="1" header="0.5" footer="0.5"/>
  <pageSetup orientation="portrait" r:id="rId1"/>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autoPageBreaks="0" fitToPage="1"/>
  </sheetPr>
  <dimension ref="A1:N31"/>
  <sheetViews>
    <sheetView showGridLines="0" zoomScale="85" zoomScaleNormal="85" workbookViewId="0">
      <selection sqref="A1:N1"/>
    </sheetView>
  </sheetViews>
  <sheetFormatPr defaultColWidth="8.7109375" defaultRowHeight="19.5" customHeight="1" x14ac:dyDescent="0.2"/>
  <cols>
    <col min="1" max="1" width="3.7109375" style="92" customWidth="1"/>
    <col min="2" max="2" width="15.5703125" style="92" customWidth="1"/>
    <col min="3" max="3" width="35.7109375" style="92" customWidth="1"/>
    <col min="4" max="4" width="13.28515625" style="92" customWidth="1"/>
    <col min="5" max="5" width="12.28515625" style="92" hidden="1" customWidth="1"/>
    <col min="6" max="6" width="12.5703125" style="92" customWidth="1"/>
    <col min="7" max="7" width="11.28515625" style="92" customWidth="1"/>
    <col min="8" max="11" width="8.7109375" style="92"/>
    <col min="12" max="12" width="10.7109375" style="92" customWidth="1"/>
    <col min="13" max="13" width="10.28515625" style="92" customWidth="1"/>
    <col min="14" max="14" width="9.140625" style="92" customWidth="1"/>
    <col min="15" max="16384" width="8.7109375" style="92"/>
  </cols>
  <sheetData>
    <row r="1" spans="1:14" ht="24.75" customHeight="1" x14ac:dyDescent="0.2">
      <c r="A1" s="264" t="s">
        <v>146</v>
      </c>
      <c r="B1" s="264"/>
      <c r="C1" s="264"/>
      <c r="D1" s="264"/>
      <c r="E1" s="264"/>
      <c r="F1" s="264"/>
      <c r="G1" s="264"/>
      <c r="H1" s="264"/>
      <c r="I1" s="264"/>
      <c r="J1" s="264"/>
      <c r="K1" s="264"/>
      <c r="L1" s="264"/>
      <c r="M1" s="264"/>
      <c r="N1" s="264"/>
    </row>
    <row r="2" spans="1:14" ht="28.5" customHeight="1" x14ac:dyDescent="0.2">
      <c r="B2" s="93"/>
    </row>
    <row r="7" spans="1:14" ht="19.5" customHeight="1" x14ac:dyDescent="0.2">
      <c r="F7" s="94"/>
    </row>
    <row r="8" spans="1:14" ht="19.5" customHeight="1" x14ac:dyDescent="0.2">
      <c r="F8" s="94"/>
    </row>
    <row r="9" spans="1:14" ht="19.5" customHeight="1" x14ac:dyDescent="0.2">
      <c r="F9" s="94"/>
    </row>
    <row r="10" spans="1:14" ht="19.5" customHeight="1" x14ac:dyDescent="0.2">
      <c r="F10" s="94"/>
    </row>
    <row r="11" spans="1:14" ht="19.5" customHeight="1" x14ac:dyDescent="0.2">
      <c r="F11" s="94"/>
    </row>
    <row r="12" spans="1:14" ht="19.5" customHeight="1" x14ac:dyDescent="0.2">
      <c r="F12" s="94"/>
    </row>
    <row r="13" spans="1:14" ht="19.5" customHeight="1" x14ac:dyDescent="0.2">
      <c r="F13" s="94"/>
      <c r="I13" s="95"/>
      <c r="K13" s="95"/>
      <c r="M13" s="95"/>
      <c r="N13" s="96"/>
    </row>
    <row r="14" spans="1:14" ht="19.5" customHeight="1" x14ac:dyDescent="0.2">
      <c r="F14" s="94"/>
      <c r="I14" s="95"/>
      <c r="K14" s="95"/>
      <c r="M14" s="95"/>
      <c r="N14" s="96"/>
    </row>
    <row r="15" spans="1:14" ht="19.5" customHeight="1" x14ac:dyDescent="0.2">
      <c r="F15" s="94"/>
      <c r="I15" s="95"/>
      <c r="K15" s="95"/>
      <c r="M15" s="95"/>
      <c r="N15" s="96"/>
    </row>
    <row r="16" spans="1:14" ht="19.5" customHeight="1" x14ac:dyDescent="0.2">
      <c r="F16" s="94"/>
      <c r="I16" s="95"/>
      <c r="K16" s="95"/>
      <c r="M16" s="95"/>
      <c r="N16" s="96"/>
    </row>
    <row r="17" spans="2:14" ht="19.5" customHeight="1" thickBot="1" x14ac:dyDescent="0.25">
      <c r="I17" s="95"/>
      <c r="K17" s="95"/>
      <c r="M17" s="95"/>
      <c r="N17" s="96"/>
    </row>
    <row r="18" spans="2:14" ht="24" customHeight="1" thickTop="1" x14ac:dyDescent="0.2">
      <c r="B18" s="97" t="s">
        <v>145</v>
      </c>
      <c r="C18" s="98"/>
      <c r="D18" s="99"/>
      <c r="I18" s="95"/>
      <c r="K18" s="95"/>
      <c r="M18" s="95"/>
      <c r="N18" s="96"/>
    </row>
    <row r="19" spans="2:14" ht="24" customHeight="1" x14ac:dyDescent="0.2">
      <c r="B19" s="100" t="s">
        <v>144</v>
      </c>
      <c r="C19" s="100" t="s">
        <v>143</v>
      </c>
      <c r="D19" s="101" t="s">
        <v>142</v>
      </c>
      <c r="E19" s="92" t="s">
        <v>141</v>
      </c>
      <c r="I19" s="95"/>
      <c r="K19" s="95"/>
      <c r="L19" s="94"/>
      <c r="M19" s="95"/>
      <c r="N19" s="96"/>
    </row>
    <row r="20" spans="2:14" ht="19.5" customHeight="1" x14ac:dyDescent="0.2">
      <c r="B20" s="102">
        <v>41988</v>
      </c>
      <c r="C20" s="100" t="s">
        <v>140</v>
      </c>
      <c r="D20" s="101">
        <v>10</v>
      </c>
      <c r="E20" s="92">
        <f>1</f>
        <v>1</v>
      </c>
      <c r="I20" s="95"/>
      <c r="K20" s="95"/>
      <c r="M20" s="95"/>
      <c r="N20" s="96"/>
    </row>
    <row r="21" spans="2:14" ht="25.5" x14ac:dyDescent="0.2">
      <c r="B21" s="102">
        <v>42097</v>
      </c>
      <c r="C21" s="106" t="s">
        <v>147</v>
      </c>
      <c r="D21" s="101">
        <v>-12</v>
      </c>
      <c r="E21" s="92">
        <f>1</f>
        <v>1</v>
      </c>
      <c r="I21" s="95"/>
      <c r="K21" s="95"/>
      <c r="L21" s="94"/>
      <c r="M21" s="95"/>
      <c r="N21" s="96"/>
    </row>
    <row r="22" spans="2:14" ht="19.5" customHeight="1" x14ac:dyDescent="0.2">
      <c r="B22" s="102">
        <v>42353</v>
      </c>
      <c r="C22" s="100" t="s">
        <v>139</v>
      </c>
      <c r="D22" s="101">
        <v>-10</v>
      </c>
      <c r="E22" s="92">
        <f>1</f>
        <v>1</v>
      </c>
      <c r="I22" s="95"/>
      <c r="K22" s="95"/>
      <c r="M22" s="95"/>
      <c r="N22" s="96"/>
    </row>
    <row r="23" spans="2:14" ht="19.5" customHeight="1" x14ac:dyDescent="0.2">
      <c r="B23" s="102">
        <v>42719</v>
      </c>
      <c r="C23" s="100" t="s">
        <v>138</v>
      </c>
      <c r="D23" s="101">
        <v>-10</v>
      </c>
      <c r="E23" s="92">
        <f>1</f>
        <v>1</v>
      </c>
      <c r="I23" s="95"/>
      <c r="K23" s="95"/>
      <c r="M23" s="95"/>
      <c r="N23" s="96"/>
    </row>
    <row r="24" spans="2:14" ht="19.5" customHeight="1" x14ac:dyDescent="0.2">
      <c r="B24" s="102">
        <v>43084</v>
      </c>
      <c r="C24" s="100" t="s">
        <v>137</v>
      </c>
      <c r="D24" s="101">
        <v>-10</v>
      </c>
      <c r="E24" s="92">
        <f>1</f>
        <v>1</v>
      </c>
      <c r="I24" s="95"/>
      <c r="K24" s="95"/>
      <c r="M24" s="95"/>
      <c r="N24" s="96"/>
    </row>
    <row r="25" spans="2:14" ht="19.5" customHeight="1" x14ac:dyDescent="0.2">
      <c r="B25" s="102">
        <v>43449</v>
      </c>
      <c r="C25" s="100" t="s">
        <v>136</v>
      </c>
      <c r="D25" s="101">
        <v>-10</v>
      </c>
      <c r="E25" s="92">
        <f>1</f>
        <v>1</v>
      </c>
      <c r="I25" s="95"/>
      <c r="K25" s="95"/>
      <c r="M25" s="95"/>
      <c r="N25" s="96"/>
    </row>
    <row r="26" spans="2:14" ht="19.5" customHeight="1" x14ac:dyDescent="0.2">
      <c r="B26" s="102">
        <v>43814</v>
      </c>
      <c r="C26" s="100" t="s">
        <v>135</v>
      </c>
      <c r="D26" s="101">
        <v>-10</v>
      </c>
      <c r="E26" s="92">
        <f>1</f>
        <v>1</v>
      </c>
      <c r="I26" s="95"/>
      <c r="K26" s="95"/>
      <c r="M26" s="95"/>
      <c r="N26" s="96"/>
    </row>
    <row r="27" spans="2:14" ht="19.5" customHeight="1" x14ac:dyDescent="0.2">
      <c r="B27" s="102">
        <v>44180</v>
      </c>
      <c r="C27" s="100" t="s">
        <v>134</v>
      </c>
      <c r="D27" s="101">
        <v>-10</v>
      </c>
      <c r="E27" s="103">
        <f>1</f>
        <v>1</v>
      </c>
    </row>
    <row r="28" spans="2:14" ht="19.5" customHeight="1" x14ac:dyDescent="0.2">
      <c r="B28" s="102">
        <v>44545</v>
      </c>
      <c r="C28" s="100" t="s">
        <v>133</v>
      </c>
      <c r="D28" s="101">
        <f>D20</f>
        <v>10</v>
      </c>
      <c r="E28" s="103">
        <f>1</f>
        <v>1</v>
      </c>
    </row>
    <row r="29" spans="2:14" ht="19.5" customHeight="1" x14ac:dyDescent="0.2">
      <c r="B29" s="102"/>
      <c r="C29" s="100"/>
      <c r="D29" s="101"/>
      <c r="E29" s="103">
        <f>1</f>
        <v>1</v>
      </c>
      <c r="H29" s="104"/>
    </row>
    <row r="30" spans="2:14" ht="19.5" customHeight="1" x14ac:dyDescent="0.2">
      <c r="B30" s="102"/>
      <c r="C30" s="100"/>
      <c r="D30" s="105"/>
      <c r="E30" s="103">
        <f>1</f>
        <v>1</v>
      </c>
    </row>
    <row r="31" spans="2:14" ht="19.5" customHeight="1" x14ac:dyDescent="0.2">
      <c r="B31" s="102"/>
      <c r="C31" s="100"/>
      <c r="D31" s="105"/>
      <c r="E31" s="103">
        <f>1</f>
        <v>1</v>
      </c>
    </row>
  </sheetData>
  <mergeCells count="1">
    <mergeCell ref="A1:N1"/>
  </mergeCells>
  <pageMargins left="0.7" right="0.7" top="0.75" bottom="0.75" header="0.3" footer="0.3"/>
  <pageSetup scale="78" fitToHeight="0" orientation="landscape" r:id="rId1"/>
  <drawing r:id="rId2"/>
  <legacyDrawing r:id="rId3"/>
  <oleObjects>
    <mc:AlternateContent xmlns:mc="http://schemas.openxmlformats.org/markup-compatibility/2006">
      <mc:Choice Requires="x14">
        <oleObject progId="Equation.DSMT4" shapeId="26625" r:id="rId4">
          <objectPr defaultSize="0" autoPict="0" r:id="rId5">
            <anchor moveWithCells="1">
              <from>
                <xdr:col>3</xdr:col>
                <xdr:colOff>581025</xdr:colOff>
                <xdr:row>2</xdr:row>
                <xdr:rowOff>57150</xdr:rowOff>
              </from>
              <to>
                <xdr:col>7</xdr:col>
                <xdr:colOff>371475</xdr:colOff>
                <xdr:row>3</xdr:row>
                <xdr:rowOff>190500</xdr:rowOff>
              </to>
            </anchor>
          </objectPr>
        </oleObject>
      </mc:Choice>
      <mc:Fallback>
        <oleObject progId="Equation.DSMT4" shapeId="26625" r:id="rId4"/>
      </mc:Fallback>
    </mc:AlternateContent>
  </oleObjects>
  <tableParts count="1">
    <tablePart r:id="rId6"/>
  </tablePar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0"/>
  <dimension ref="A1:D20"/>
  <sheetViews>
    <sheetView workbookViewId="0">
      <selection sqref="A1:D1"/>
    </sheetView>
  </sheetViews>
  <sheetFormatPr defaultRowHeight="12.75" x14ac:dyDescent="0.2"/>
  <cols>
    <col min="1" max="2" width="11.7109375" customWidth="1"/>
    <col min="3" max="3" width="11.85546875" bestFit="1" customWidth="1"/>
    <col min="4" max="4" width="15.5703125" customWidth="1"/>
  </cols>
  <sheetData>
    <row r="1" spans="1:4" ht="36" customHeight="1" x14ac:dyDescent="0.2">
      <c r="A1" s="264" t="s">
        <v>63</v>
      </c>
      <c r="B1" s="264"/>
      <c r="C1" s="264"/>
      <c r="D1" s="264"/>
    </row>
    <row r="2" spans="1:4" s="28" customFormat="1" ht="51" x14ac:dyDescent="0.2">
      <c r="B2" s="65" t="s">
        <v>148</v>
      </c>
      <c r="C2" s="65" t="s">
        <v>149</v>
      </c>
      <c r="D2" s="65" t="s">
        <v>150</v>
      </c>
    </row>
    <row r="4" spans="1:4" s="28" customFormat="1" x14ac:dyDescent="0.2"/>
    <row r="17" spans="1:3" x14ac:dyDescent="0.2">
      <c r="A17" s="45" t="s">
        <v>109</v>
      </c>
    </row>
    <row r="18" spans="1:3" x14ac:dyDescent="0.2">
      <c r="A18" s="107">
        <v>41988</v>
      </c>
    </row>
    <row r="19" spans="1:3" x14ac:dyDescent="0.2">
      <c r="A19" s="107">
        <v>42097</v>
      </c>
      <c r="B19">
        <f>A19-A18</f>
        <v>109</v>
      </c>
      <c r="C19" t="e">
        <f ca="1">getformula(B19)</f>
        <v>#NAME?</v>
      </c>
    </row>
    <row r="20" spans="1:3" x14ac:dyDescent="0.2">
      <c r="A20" s="107">
        <v>42353</v>
      </c>
      <c r="B20">
        <f>A20-A18</f>
        <v>365</v>
      </c>
      <c r="C20" t="e">
        <f ca="1">getformula(B20)</f>
        <v>#NAME?</v>
      </c>
    </row>
  </sheetData>
  <mergeCells count="1">
    <mergeCell ref="A1:D1"/>
  </mergeCells>
  <phoneticPr fontId="6" type="noConversion"/>
  <pageMargins left="0.75" right="0.75" top="1" bottom="1" header="0.5" footer="0.5"/>
  <pageSetup orientation="portrait" r:id="rId1"/>
  <headerFooter alignWithMargins="0"/>
  <drawing r:id="rId2"/>
  <legacyDrawing r:id="rId3"/>
  <oleObjects>
    <mc:AlternateContent xmlns:mc="http://schemas.openxmlformats.org/markup-compatibility/2006">
      <mc:Choice Requires="x14">
        <oleObject progId="Equation.DSMT4" shapeId="8228" r:id="rId4">
          <objectPr defaultSize="0" r:id="rId5">
            <anchor moveWithCells="1">
              <from>
                <xdr:col>0</xdr:col>
                <xdr:colOff>114300</xdr:colOff>
                <xdr:row>11</xdr:row>
                <xdr:rowOff>66675</xdr:rowOff>
              </from>
              <to>
                <xdr:col>3</xdr:col>
                <xdr:colOff>28575</xdr:colOff>
                <xdr:row>13</xdr:row>
                <xdr:rowOff>133350</xdr:rowOff>
              </to>
            </anchor>
          </objectPr>
        </oleObject>
      </mc:Choice>
      <mc:Fallback>
        <oleObject progId="Equation.DSMT4" shapeId="8228" r:id="rId4"/>
      </mc:Fallback>
    </mc:AlternateContent>
  </oleObjec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C16"/>
  <sheetViews>
    <sheetView workbookViewId="0">
      <selection activeCell="E16" sqref="E16"/>
    </sheetView>
  </sheetViews>
  <sheetFormatPr defaultRowHeight="12.75" x14ac:dyDescent="0.2"/>
  <cols>
    <col min="1" max="1" width="52.85546875" bestFit="1" customWidth="1"/>
    <col min="2" max="2" width="10.28515625" bestFit="1" customWidth="1"/>
    <col min="3" max="3" width="21.7109375" bestFit="1" customWidth="1"/>
  </cols>
  <sheetData>
    <row r="1" spans="1:3" ht="37.9" customHeight="1" x14ac:dyDescent="0.2">
      <c r="A1" s="261" t="s">
        <v>67</v>
      </c>
      <c r="B1" s="261"/>
      <c r="C1" s="261"/>
    </row>
    <row r="2" spans="1:3" x14ac:dyDescent="0.2">
      <c r="A2" t="s">
        <v>6</v>
      </c>
      <c r="B2" s="17">
        <v>9750</v>
      </c>
    </row>
    <row r="3" spans="1:3" x14ac:dyDescent="0.2">
      <c r="A3" t="s">
        <v>7</v>
      </c>
      <c r="B3" s="17">
        <v>10000</v>
      </c>
    </row>
    <row r="4" spans="1:3" x14ac:dyDescent="0.2">
      <c r="A4" t="s">
        <v>49</v>
      </c>
      <c r="B4">
        <f>26*7</f>
        <v>182</v>
      </c>
      <c r="C4" t="e">
        <f ca="1">getformula(B4)</f>
        <v>#NAME?</v>
      </c>
    </row>
    <row r="5" spans="1:3" x14ac:dyDescent="0.2">
      <c r="A5" s="79" t="s">
        <v>113</v>
      </c>
      <c r="B5" s="80">
        <f>B4/365</f>
        <v>0.49863013698630138</v>
      </c>
      <c r="C5" t="e">
        <f ca="1">getformula(B5)</f>
        <v>#NAME?</v>
      </c>
    </row>
    <row r="7" spans="1:3" x14ac:dyDescent="0.2">
      <c r="A7" s="49" t="s">
        <v>50</v>
      </c>
    </row>
    <row r="8" spans="1:3" x14ac:dyDescent="0.2">
      <c r="A8" t="s">
        <v>8</v>
      </c>
      <c r="B8" s="25">
        <f>(B3/B2)^(1/B4)-1</f>
        <v>1.3911851116121809E-4</v>
      </c>
      <c r="C8" t="e">
        <f ca="1">getformula(B8)</f>
        <v>#NAME?</v>
      </c>
    </row>
    <row r="9" spans="1:3" x14ac:dyDescent="0.2">
      <c r="A9" t="s">
        <v>66</v>
      </c>
      <c r="B9" s="26">
        <f>(1+B8)^365-1</f>
        <v>5.208585773694363E-2</v>
      </c>
      <c r="C9" t="e">
        <f ca="1">getformula(B9)</f>
        <v>#NAME?</v>
      </c>
    </row>
    <row r="11" spans="1:3" x14ac:dyDescent="0.2">
      <c r="A11" s="49" t="s">
        <v>51</v>
      </c>
    </row>
    <row r="12" spans="1:3" x14ac:dyDescent="0.2">
      <c r="A12" t="s">
        <v>9</v>
      </c>
      <c r="B12" s="26">
        <f>LN(B3/B2)*(1/B5)</f>
        <v>5.0774724803658085E-2</v>
      </c>
      <c r="C12" t="e">
        <f ca="1">getformula(B12)</f>
        <v>#NAME?</v>
      </c>
    </row>
    <row r="14" spans="1:3" x14ac:dyDescent="0.2">
      <c r="A14" s="8" t="s">
        <v>54</v>
      </c>
    </row>
    <row r="15" spans="1:3" x14ac:dyDescent="0.2">
      <c r="A15" t="s">
        <v>52</v>
      </c>
      <c r="B15" s="22">
        <f>B2*(1+B9)</f>
        <v>10257.8371129352</v>
      </c>
      <c r="C15" t="e">
        <f ca="1">getformula(B15)</f>
        <v>#NAME?</v>
      </c>
    </row>
    <row r="16" spans="1:3" x14ac:dyDescent="0.2">
      <c r="A16" t="s">
        <v>53</v>
      </c>
      <c r="B16" s="22">
        <f>B2*EXP(B12)</f>
        <v>10257.837112934983</v>
      </c>
      <c r="C16" t="e">
        <f ca="1">getformula(B16)</f>
        <v>#NAME?</v>
      </c>
    </row>
  </sheetData>
  <mergeCells count="1">
    <mergeCell ref="A1:C1"/>
  </mergeCells>
  <phoneticPr fontId="6" type="noConversion"/>
  <printOptions headings="1" gridLines="1"/>
  <pageMargins left="0.75" right="0.75" top="1" bottom="1" header="0.5" footer="0.5"/>
  <pageSetup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G35"/>
  <sheetViews>
    <sheetView workbookViewId="0">
      <selection activeCell="B5" sqref="B5"/>
    </sheetView>
  </sheetViews>
  <sheetFormatPr defaultRowHeight="12.75" x14ac:dyDescent="0.2"/>
  <cols>
    <col min="1" max="1" width="29.28515625" customWidth="1"/>
    <col min="2" max="2" width="11.5703125" customWidth="1"/>
    <col min="3" max="3" width="25.5703125" bestFit="1" customWidth="1"/>
  </cols>
  <sheetData>
    <row r="1" spans="1:7" ht="55.5" customHeight="1" x14ac:dyDescent="0.25">
      <c r="A1" s="261" t="s">
        <v>157</v>
      </c>
      <c r="B1" s="261"/>
      <c r="C1" s="261"/>
      <c r="D1" s="34"/>
    </row>
    <row r="2" spans="1:7" ht="13.5" thickBot="1" x14ac:dyDescent="0.25">
      <c r="A2" t="s">
        <v>16</v>
      </c>
      <c r="B2" s="12">
        <v>1000</v>
      </c>
      <c r="F2" t="s">
        <v>153</v>
      </c>
      <c r="G2" t="s">
        <v>154</v>
      </c>
    </row>
    <row r="3" spans="1:7" ht="13.5" thickBot="1" x14ac:dyDescent="0.25">
      <c r="A3" s="45" t="s">
        <v>33</v>
      </c>
      <c r="B3" s="12">
        <f>AVERAGE(F3:G3)</f>
        <v>101.99215</v>
      </c>
      <c r="F3" s="108">
        <v>101.9609</v>
      </c>
      <c r="G3" s="109">
        <v>102.0234</v>
      </c>
    </row>
    <row r="4" spans="1:7" x14ac:dyDescent="0.2">
      <c r="A4" t="s">
        <v>11</v>
      </c>
      <c r="B4" s="6">
        <v>2.5000000000000001E-2</v>
      </c>
      <c r="F4" t="s">
        <v>151</v>
      </c>
      <c r="G4" s="110" t="s">
        <v>152</v>
      </c>
    </row>
    <row r="5" spans="1:7" x14ac:dyDescent="0.2">
      <c r="A5" t="s">
        <v>13</v>
      </c>
      <c r="B5" s="1">
        <v>41501</v>
      </c>
    </row>
    <row r="6" spans="1:7" x14ac:dyDescent="0.2">
      <c r="A6" t="s">
        <v>12</v>
      </c>
      <c r="B6" s="1">
        <v>45153</v>
      </c>
    </row>
    <row r="8" spans="1:7" x14ac:dyDescent="0.2">
      <c r="A8" t="s">
        <v>29</v>
      </c>
    </row>
    <row r="9" spans="1:7" x14ac:dyDescent="0.2">
      <c r="A9" s="3" t="s">
        <v>14</v>
      </c>
      <c r="B9" s="3" t="s">
        <v>15</v>
      </c>
    </row>
    <row r="10" spans="1:7" x14ac:dyDescent="0.2">
      <c r="A10" s="5">
        <f>B5</f>
        <v>41501</v>
      </c>
      <c r="B10" s="16">
        <f>-B3*B2/100</f>
        <v>-1019.9214999999999</v>
      </c>
      <c r="C10" t="e">
        <f ca="1">getformula(B10)</f>
        <v>#NAME?</v>
      </c>
    </row>
    <row r="11" spans="1:7" x14ac:dyDescent="0.2">
      <c r="A11" s="5">
        <v>41685</v>
      </c>
      <c r="B11" s="16">
        <f t="shared" ref="B11:B29" si="0">$B$4*$B$2/2</f>
        <v>12.5</v>
      </c>
      <c r="C11" t="e">
        <f ca="1">getformula(B11)</f>
        <v>#NAME?</v>
      </c>
    </row>
    <row r="12" spans="1:7" x14ac:dyDescent="0.2">
      <c r="A12" s="5">
        <v>41866</v>
      </c>
      <c r="B12" s="16">
        <f t="shared" si="0"/>
        <v>12.5</v>
      </c>
      <c r="C12" t="e">
        <f ca="1">getformula(B12)</f>
        <v>#NAME?</v>
      </c>
    </row>
    <row r="13" spans="1:7" x14ac:dyDescent="0.2">
      <c r="A13" s="5">
        <v>42050</v>
      </c>
      <c r="B13" s="16">
        <f t="shared" si="0"/>
        <v>12.5</v>
      </c>
    </row>
    <row r="14" spans="1:7" x14ac:dyDescent="0.2">
      <c r="A14" s="5">
        <v>42231</v>
      </c>
      <c r="B14" s="16">
        <f t="shared" si="0"/>
        <v>12.5</v>
      </c>
    </row>
    <row r="15" spans="1:7" x14ac:dyDescent="0.2">
      <c r="A15" s="5">
        <v>42415</v>
      </c>
      <c r="B15" s="16">
        <f t="shared" si="0"/>
        <v>12.5</v>
      </c>
    </row>
    <row r="16" spans="1:7" x14ac:dyDescent="0.2">
      <c r="A16" s="5">
        <v>42597</v>
      </c>
      <c r="B16" s="16">
        <f t="shared" si="0"/>
        <v>12.5</v>
      </c>
    </row>
    <row r="17" spans="1:3" x14ac:dyDescent="0.2">
      <c r="A17" s="5">
        <v>42781</v>
      </c>
      <c r="B17" s="16">
        <f t="shared" si="0"/>
        <v>12.5</v>
      </c>
    </row>
    <row r="18" spans="1:3" x14ac:dyDescent="0.2">
      <c r="A18" s="5">
        <v>42962</v>
      </c>
      <c r="B18" s="16">
        <f t="shared" si="0"/>
        <v>12.5</v>
      </c>
    </row>
    <row r="19" spans="1:3" x14ac:dyDescent="0.2">
      <c r="A19" s="5">
        <v>43146</v>
      </c>
      <c r="B19" s="16">
        <f t="shared" si="0"/>
        <v>12.5</v>
      </c>
    </row>
    <row r="20" spans="1:3" x14ac:dyDescent="0.2">
      <c r="A20" s="5">
        <v>43327</v>
      </c>
      <c r="B20" s="16">
        <f t="shared" si="0"/>
        <v>12.5</v>
      </c>
    </row>
    <row r="21" spans="1:3" x14ac:dyDescent="0.2">
      <c r="A21" s="5">
        <v>43511</v>
      </c>
      <c r="B21" s="16">
        <f t="shared" si="0"/>
        <v>12.5</v>
      </c>
    </row>
    <row r="22" spans="1:3" x14ac:dyDescent="0.2">
      <c r="A22" s="5">
        <v>43692</v>
      </c>
      <c r="B22" s="16">
        <f t="shared" si="0"/>
        <v>12.5</v>
      </c>
    </row>
    <row r="23" spans="1:3" x14ac:dyDescent="0.2">
      <c r="A23" s="5">
        <v>43876</v>
      </c>
      <c r="B23" s="16">
        <f t="shared" si="0"/>
        <v>12.5</v>
      </c>
    </row>
    <row r="24" spans="1:3" x14ac:dyDescent="0.2">
      <c r="A24" s="5">
        <v>44058</v>
      </c>
      <c r="B24" s="16">
        <f t="shared" si="0"/>
        <v>12.5</v>
      </c>
    </row>
    <row r="25" spans="1:3" x14ac:dyDescent="0.2">
      <c r="A25" s="5">
        <v>44242</v>
      </c>
      <c r="B25" s="16">
        <f t="shared" si="0"/>
        <v>12.5</v>
      </c>
    </row>
    <row r="26" spans="1:3" x14ac:dyDescent="0.2">
      <c r="A26" s="5">
        <v>44423</v>
      </c>
      <c r="B26" s="16">
        <f t="shared" si="0"/>
        <v>12.5</v>
      </c>
    </row>
    <row r="27" spans="1:3" x14ac:dyDescent="0.2">
      <c r="A27" s="5">
        <v>44607</v>
      </c>
      <c r="B27" s="16">
        <f t="shared" si="0"/>
        <v>12.5</v>
      </c>
    </row>
    <row r="28" spans="1:3" x14ac:dyDescent="0.2">
      <c r="A28" s="5">
        <v>44788</v>
      </c>
      <c r="B28" s="16">
        <f t="shared" si="0"/>
        <v>12.5</v>
      </c>
    </row>
    <row r="29" spans="1:3" x14ac:dyDescent="0.2">
      <c r="A29" s="5">
        <v>44972</v>
      </c>
      <c r="B29" s="16">
        <f t="shared" si="0"/>
        <v>12.5</v>
      </c>
    </row>
    <row r="30" spans="1:3" x14ac:dyDescent="0.2">
      <c r="A30" s="5">
        <v>45153</v>
      </c>
      <c r="B30" s="16">
        <f>$B$4*$B$2/2+B2</f>
        <v>1012.5</v>
      </c>
      <c r="C30" t="e">
        <f ca="1">getformula(B30)</f>
        <v>#NAME?</v>
      </c>
    </row>
    <row r="32" spans="1:3" ht="13.15" customHeight="1" x14ac:dyDescent="0.2">
      <c r="A32" t="s">
        <v>101</v>
      </c>
      <c r="B32" s="25">
        <f>IRR(B10:B30)</f>
        <v>1.1380635622800561E-2</v>
      </c>
      <c r="C32" t="e">
        <f ca="1">getformula(B32)</f>
        <v>#NAME?</v>
      </c>
    </row>
    <row r="33" spans="1:3" ht="13.15" customHeight="1" x14ac:dyDescent="0.2">
      <c r="A33" s="67" t="s">
        <v>100</v>
      </c>
      <c r="B33" s="26">
        <f>(1+B32)^2-1</f>
        <v>2.2890790112780168E-2</v>
      </c>
      <c r="C33" t="e">
        <f ca="1">getformula(B33)</f>
        <v>#NAME?</v>
      </c>
    </row>
    <row r="34" spans="1:3" ht="13.15" customHeight="1" x14ac:dyDescent="0.2">
      <c r="A34" s="61" t="s">
        <v>68</v>
      </c>
      <c r="B34" s="66">
        <f>XIRR(B10:B30,A10:A30)</f>
        <v>2.2876879572868353E-2</v>
      </c>
      <c r="C34" t="e">
        <f ca="1">getformula(B34)</f>
        <v>#NAME?</v>
      </c>
    </row>
    <row r="35" spans="1:3" x14ac:dyDescent="0.2">
      <c r="A35" s="45"/>
    </row>
  </sheetData>
  <mergeCells count="1">
    <mergeCell ref="A1:C1"/>
  </mergeCells>
  <phoneticPr fontId="6" type="noConversion"/>
  <hyperlinks>
    <hyperlink ref="G4" r:id="rId1"/>
  </hyperlinks>
  <printOptions headings="1" gridLines="1"/>
  <pageMargins left="0.75" right="0.75" top="1" bottom="1" header="0.5" footer="0.5"/>
  <pageSetup orientation="portrait" r:id="rId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I33"/>
  <sheetViews>
    <sheetView workbookViewId="0">
      <selection activeCell="C2" sqref="C2"/>
    </sheetView>
  </sheetViews>
  <sheetFormatPr defaultRowHeight="12.75" x14ac:dyDescent="0.2"/>
  <cols>
    <col min="1" max="1" width="25" bestFit="1" customWidth="1"/>
    <col min="2" max="2" width="11.28515625" customWidth="1"/>
    <col min="3" max="3" width="16.140625" customWidth="1"/>
    <col min="4" max="4" width="20.140625" customWidth="1"/>
    <col min="5" max="5" width="9.42578125" bestFit="1" customWidth="1"/>
    <col min="6" max="6" width="14.28515625" bestFit="1" customWidth="1"/>
  </cols>
  <sheetData>
    <row r="1" spans="1:9" ht="41.25" customHeight="1" thickBot="1" x14ac:dyDescent="0.25">
      <c r="A1" s="261" t="s">
        <v>403</v>
      </c>
      <c r="B1" s="263"/>
      <c r="C1" s="263"/>
      <c r="D1" s="263"/>
      <c r="E1" s="263"/>
      <c r="F1" s="263"/>
    </row>
    <row r="2" spans="1:9" s="45" customFormat="1" ht="13.15" customHeight="1" thickBot="1" x14ac:dyDescent="0.25">
      <c r="A2" s="46" t="s">
        <v>16</v>
      </c>
      <c r="B2" s="47">
        <v>1000</v>
      </c>
      <c r="C2" s="15"/>
      <c r="D2" s="15"/>
      <c r="E2" s="15"/>
      <c r="F2" s="15"/>
      <c r="H2" s="108">
        <v>100.6953</v>
      </c>
      <c r="I2" s="109">
        <v>100.7578</v>
      </c>
    </row>
    <row r="3" spans="1:9" ht="13.15" customHeight="1" x14ac:dyDescent="0.2">
      <c r="A3" t="s">
        <v>11</v>
      </c>
      <c r="B3" s="10">
        <v>2.5000000000000001E-2</v>
      </c>
      <c r="H3" t="s">
        <v>155</v>
      </c>
      <c r="I3" s="110" t="s">
        <v>156</v>
      </c>
    </row>
    <row r="4" spans="1:9" x14ac:dyDescent="0.2">
      <c r="D4" t="s">
        <v>21</v>
      </c>
      <c r="E4" s="1">
        <v>41911</v>
      </c>
    </row>
    <row r="5" spans="1:9" x14ac:dyDescent="0.2">
      <c r="A5" t="s">
        <v>17</v>
      </c>
      <c r="B5" s="7">
        <f>AVERAGE(H2:I2)*10</f>
        <v>1007.2655</v>
      </c>
      <c r="D5" t="s">
        <v>22</v>
      </c>
      <c r="E5" s="1">
        <v>41866</v>
      </c>
    </row>
    <row r="6" spans="1:9" x14ac:dyDescent="0.2">
      <c r="A6" t="s">
        <v>18</v>
      </c>
      <c r="B6" s="7">
        <f>E12</f>
        <v>3.0570652173913042</v>
      </c>
      <c r="C6" t="e">
        <f ca="1">getformula(B6)</f>
        <v>#NAME?</v>
      </c>
      <c r="D6" t="s">
        <v>23</v>
      </c>
      <c r="E6" s="1">
        <v>42050</v>
      </c>
    </row>
    <row r="7" spans="1:9" x14ac:dyDescent="0.2">
      <c r="B7" s="7"/>
    </row>
    <row r="8" spans="1:9" x14ac:dyDescent="0.2">
      <c r="A8" s="61" t="s">
        <v>19</v>
      </c>
      <c r="B8" s="81">
        <f>B5+B6</f>
        <v>1010.3225652173912</v>
      </c>
      <c r="C8" t="e">
        <f ca="1">getformula(B8)</f>
        <v>#NAME?</v>
      </c>
      <c r="D8" t="s">
        <v>25</v>
      </c>
      <c r="E8">
        <f>E4-E5</f>
        <v>45</v>
      </c>
      <c r="F8" t="e">
        <f ca="1">getformula(E8)</f>
        <v>#NAME?</v>
      </c>
    </row>
    <row r="9" spans="1:9" x14ac:dyDescent="0.2">
      <c r="D9" t="s">
        <v>26</v>
      </c>
      <c r="E9">
        <f>E6-E5</f>
        <v>184</v>
      </c>
      <c r="F9" t="e">
        <f ca="1">getformula(E9)</f>
        <v>#NAME?</v>
      </c>
    </row>
    <row r="10" spans="1:9" x14ac:dyDescent="0.2">
      <c r="A10" s="3" t="s">
        <v>14</v>
      </c>
      <c r="B10" s="3" t="s">
        <v>15</v>
      </c>
    </row>
    <row r="11" spans="1:9" x14ac:dyDescent="0.2">
      <c r="A11" s="5">
        <f>E4</f>
        <v>41911</v>
      </c>
      <c r="B11" s="16">
        <f>-B8</f>
        <v>-1010.3225652173912</v>
      </c>
      <c r="C11" t="e">
        <f ca="1">getformula(B11)</f>
        <v>#NAME?</v>
      </c>
      <c r="D11" t="s">
        <v>102</v>
      </c>
      <c r="E11">
        <f>B3/2*B2</f>
        <v>12.5</v>
      </c>
      <c r="F11" t="e">
        <f ca="1">getformula(E11)</f>
        <v>#NAME?</v>
      </c>
    </row>
    <row r="12" spans="1:9" x14ac:dyDescent="0.2">
      <c r="A12" s="5">
        <v>42050</v>
      </c>
      <c r="B12" s="12">
        <f>$B$3*$B$2/2</f>
        <v>12.5</v>
      </c>
      <c r="C12" t="e">
        <f ca="1">getformula(B12)</f>
        <v>#NAME?</v>
      </c>
      <c r="D12" t="s">
        <v>18</v>
      </c>
      <c r="E12" s="18">
        <f>E8/E9*E11</f>
        <v>3.0570652173913042</v>
      </c>
      <c r="F12" t="e">
        <f ca="1">getformula(E12)</f>
        <v>#NAME?</v>
      </c>
    </row>
    <row r="13" spans="1:9" x14ac:dyDescent="0.2">
      <c r="A13" s="5">
        <v>42231</v>
      </c>
      <c r="B13" s="12">
        <f t="shared" ref="B13:B28" si="0">$B$3*$B$2/2</f>
        <v>12.5</v>
      </c>
    </row>
    <row r="14" spans="1:9" x14ac:dyDescent="0.2">
      <c r="A14" s="5">
        <v>42415</v>
      </c>
      <c r="B14" s="12">
        <f t="shared" si="0"/>
        <v>12.5</v>
      </c>
    </row>
    <row r="15" spans="1:9" x14ac:dyDescent="0.2">
      <c r="A15" s="5">
        <v>42597</v>
      </c>
      <c r="B15" s="12">
        <f t="shared" si="0"/>
        <v>12.5</v>
      </c>
    </row>
    <row r="16" spans="1:9" x14ac:dyDescent="0.2">
      <c r="A16" s="5">
        <v>42781</v>
      </c>
      <c r="B16" s="12">
        <f t="shared" si="0"/>
        <v>12.5</v>
      </c>
    </row>
    <row r="17" spans="1:3" x14ac:dyDescent="0.2">
      <c r="A17" s="5">
        <v>42962</v>
      </c>
      <c r="B17" s="12">
        <f t="shared" si="0"/>
        <v>12.5</v>
      </c>
    </row>
    <row r="18" spans="1:3" x14ac:dyDescent="0.2">
      <c r="A18" s="5">
        <v>43146</v>
      </c>
      <c r="B18" s="12">
        <f t="shared" si="0"/>
        <v>12.5</v>
      </c>
    </row>
    <row r="19" spans="1:3" x14ac:dyDescent="0.2">
      <c r="A19" s="5">
        <v>43327</v>
      </c>
      <c r="B19" s="12">
        <f t="shared" si="0"/>
        <v>12.5</v>
      </c>
    </row>
    <row r="20" spans="1:3" x14ac:dyDescent="0.2">
      <c r="A20" s="5">
        <v>43511</v>
      </c>
      <c r="B20" s="12">
        <f t="shared" si="0"/>
        <v>12.5</v>
      </c>
    </row>
    <row r="21" spans="1:3" x14ac:dyDescent="0.2">
      <c r="A21" s="5">
        <v>43692</v>
      </c>
      <c r="B21" s="12">
        <f t="shared" si="0"/>
        <v>12.5</v>
      </c>
    </row>
    <row r="22" spans="1:3" x14ac:dyDescent="0.2">
      <c r="A22" s="5">
        <v>43876</v>
      </c>
      <c r="B22" s="12">
        <f t="shared" si="0"/>
        <v>12.5</v>
      </c>
    </row>
    <row r="23" spans="1:3" x14ac:dyDescent="0.2">
      <c r="A23" s="5">
        <v>44058</v>
      </c>
      <c r="B23" s="12">
        <f t="shared" si="0"/>
        <v>12.5</v>
      </c>
    </row>
    <row r="24" spans="1:3" x14ac:dyDescent="0.2">
      <c r="A24" s="5">
        <v>44242</v>
      </c>
      <c r="B24" s="12">
        <f t="shared" si="0"/>
        <v>12.5</v>
      </c>
    </row>
    <row r="25" spans="1:3" x14ac:dyDescent="0.2">
      <c r="A25" s="5">
        <v>44423</v>
      </c>
      <c r="B25" s="12">
        <f t="shared" si="0"/>
        <v>12.5</v>
      </c>
    </row>
    <row r="26" spans="1:3" x14ac:dyDescent="0.2">
      <c r="A26" s="5">
        <v>44607</v>
      </c>
      <c r="B26" s="12">
        <f t="shared" si="0"/>
        <v>12.5</v>
      </c>
    </row>
    <row r="27" spans="1:3" x14ac:dyDescent="0.2">
      <c r="A27" s="5">
        <v>44788</v>
      </c>
      <c r="B27" s="12">
        <f t="shared" si="0"/>
        <v>12.5</v>
      </c>
    </row>
    <row r="28" spans="1:3" x14ac:dyDescent="0.2">
      <c r="A28" s="5">
        <v>44972</v>
      </c>
      <c r="B28" s="12">
        <f t="shared" si="0"/>
        <v>12.5</v>
      </c>
    </row>
    <row r="29" spans="1:3" x14ac:dyDescent="0.2">
      <c r="A29" s="5">
        <v>45153</v>
      </c>
      <c r="B29" s="12">
        <f>$B$3*$B$2/2+B2</f>
        <v>1012.5</v>
      </c>
    </row>
    <row r="30" spans="1:3" x14ac:dyDescent="0.2">
      <c r="A30" s="5"/>
      <c r="B30" s="12"/>
    </row>
    <row r="31" spans="1:3" x14ac:dyDescent="0.2">
      <c r="A31" s="48" t="s">
        <v>103</v>
      </c>
      <c r="B31" s="35">
        <f>XIRR(B11:B29,A11:A29)</f>
        <v>2.421576678752899E-2</v>
      </c>
      <c r="C31" t="e">
        <f ca="1">getformula(B31)</f>
        <v>#NAME?</v>
      </c>
    </row>
    <row r="32" spans="1:3" x14ac:dyDescent="0.2">
      <c r="A32" s="27" t="s">
        <v>104</v>
      </c>
      <c r="B32" s="35">
        <f>YIELD(A11,A29,B3,B5/10,100,2,3)</f>
        <v>2.4084256410949811E-2</v>
      </c>
      <c r="C32" t="e">
        <f ca="1">getformula(B32)</f>
        <v>#NAME?</v>
      </c>
    </row>
    <row r="33" spans="1:3" x14ac:dyDescent="0.2">
      <c r="A33" s="27" t="s">
        <v>105</v>
      </c>
      <c r="B33" s="35">
        <f>(1+B32/2)^2-1</f>
        <v>2.4229269262667108E-2</v>
      </c>
      <c r="C33" t="e">
        <f ca="1">getformula(B33)</f>
        <v>#NAME?</v>
      </c>
    </row>
  </sheetData>
  <mergeCells count="1">
    <mergeCell ref="A1:F1"/>
  </mergeCells>
  <phoneticPr fontId="6" type="noConversion"/>
  <hyperlinks>
    <hyperlink ref="I3" r:id="rId1"/>
  </hyperlinks>
  <printOptions headings="1" gridLines="1"/>
  <pageMargins left="0.75" right="0.75" top="1" bottom="1" header="0.5" footer="0.5"/>
  <pageSetup orientation="portrait" r:id="rId2"/>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72"/>
  <sheetViews>
    <sheetView workbookViewId="0">
      <selection sqref="A1:C1"/>
    </sheetView>
  </sheetViews>
  <sheetFormatPr defaultRowHeight="12.75" outlineLevelRow="1" x14ac:dyDescent="0.2"/>
  <cols>
    <col min="1" max="1" width="28" customWidth="1"/>
    <col min="2" max="2" width="15.85546875" bestFit="1" customWidth="1"/>
    <col min="3" max="3" width="23" bestFit="1" customWidth="1"/>
  </cols>
  <sheetData>
    <row r="1" spans="1:3" ht="57" customHeight="1" x14ac:dyDescent="0.2">
      <c r="A1" s="261" t="s">
        <v>304</v>
      </c>
      <c r="B1" s="261"/>
      <c r="C1" s="261"/>
    </row>
    <row r="2" spans="1:3" x14ac:dyDescent="0.2">
      <c r="A2" t="s">
        <v>10</v>
      </c>
      <c r="B2" s="9">
        <v>1700000</v>
      </c>
    </row>
    <row r="3" spans="1:3" x14ac:dyDescent="0.2">
      <c r="A3" t="s">
        <v>11</v>
      </c>
      <c r="B3" s="10">
        <v>3.8030000000000001E-2</v>
      </c>
    </row>
    <row r="4" spans="1:3" x14ac:dyDescent="0.2">
      <c r="A4" t="s">
        <v>12</v>
      </c>
      <c r="B4" s="1">
        <v>15568</v>
      </c>
    </row>
    <row r="5" spans="1:3" x14ac:dyDescent="0.2">
      <c r="A5" t="s">
        <v>13</v>
      </c>
      <c r="B5" s="1">
        <v>41136</v>
      </c>
    </row>
    <row r="7" spans="1:3" ht="25.5" x14ac:dyDescent="0.2">
      <c r="A7" s="3" t="s">
        <v>14</v>
      </c>
      <c r="B7" s="4" t="s">
        <v>305</v>
      </c>
    </row>
    <row r="8" spans="1:3" x14ac:dyDescent="0.2">
      <c r="A8" s="5">
        <f>B5</f>
        <v>41136</v>
      </c>
      <c r="B8" s="9">
        <f>B2</f>
        <v>1700000</v>
      </c>
      <c r="C8" t="e">
        <f ca="1">getformula(B8)</f>
        <v>#NAME?</v>
      </c>
    </row>
    <row r="9" spans="1:3" x14ac:dyDescent="0.2">
      <c r="A9" s="5">
        <v>41320</v>
      </c>
      <c r="B9" s="12">
        <f t="shared" ref="B9:B19" si="0">-$B$3*$B$2/2</f>
        <v>-32325.5</v>
      </c>
      <c r="C9" t="e">
        <f ca="1">getformula(B9)</f>
        <v>#NAME?</v>
      </c>
    </row>
    <row r="10" spans="1:3" x14ac:dyDescent="0.2">
      <c r="A10" s="5">
        <v>41501</v>
      </c>
      <c r="B10" s="12">
        <f t="shared" si="0"/>
        <v>-32325.5</v>
      </c>
      <c r="C10" t="e">
        <f ca="1">getformula(B10)</f>
        <v>#NAME?</v>
      </c>
    </row>
    <row r="11" spans="1:3" x14ac:dyDescent="0.2">
      <c r="A11" s="5">
        <v>41685</v>
      </c>
      <c r="B11" s="12">
        <f t="shared" si="0"/>
        <v>-32325.5</v>
      </c>
    </row>
    <row r="12" spans="1:3" x14ac:dyDescent="0.2">
      <c r="A12" s="5">
        <v>41866</v>
      </c>
      <c r="B12" s="12">
        <f t="shared" si="0"/>
        <v>-32325.5</v>
      </c>
    </row>
    <row r="13" spans="1:3" x14ac:dyDescent="0.2">
      <c r="A13" s="5">
        <v>42050</v>
      </c>
      <c r="B13" s="12">
        <f t="shared" si="0"/>
        <v>-32325.5</v>
      </c>
    </row>
    <row r="14" spans="1:3" x14ac:dyDescent="0.2">
      <c r="A14" s="5">
        <v>42231</v>
      </c>
      <c r="B14" s="12">
        <f t="shared" si="0"/>
        <v>-32325.5</v>
      </c>
    </row>
    <row r="15" spans="1:3" x14ac:dyDescent="0.2">
      <c r="A15" s="5">
        <v>42415</v>
      </c>
      <c r="B15" s="12">
        <f t="shared" si="0"/>
        <v>-32325.5</v>
      </c>
    </row>
    <row r="16" spans="1:3" x14ac:dyDescent="0.2">
      <c r="A16" s="5">
        <v>42597</v>
      </c>
      <c r="B16" s="12">
        <f t="shared" si="0"/>
        <v>-32325.5</v>
      </c>
    </row>
    <row r="17" spans="1:2" hidden="1" outlineLevel="1" x14ac:dyDescent="0.2">
      <c r="A17" s="5">
        <v>42781</v>
      </c>
      <c r="B17" s="12">
        <f t="shared" si="0"/>
        <v>-32325.5</v>
      </c>
    </row>
    <row r="18" spans="1:2" hidden="1" outlineLevel="1" x14ac:dyDescent="0.2">
      <c r="A18" s="5">
        <v>42962</v>
      </c>
      <c r="B18" s="12">
        <f t="shared" si="0"/>
        <v>-32325.5</v>
      </c>
    </row>
    <row r="19" spans="1:2" hidden="1" outlineLevel="1" x14ac:dyDescent="0.2">
      <c r="A19" s="5">
        <v>43146</v>
      </c>
      <c r="B19" s="12">
        <f t="shared" si="0"/>
        <v>-32325.5</v>
      </c>
    </row>
    <row r="20" spans="1:2" s="84" customFormat="1" hidden="1" outlineLevel="1" x14ac:dyDescent="0.2">
      <c r="A20" s="5">
        <v>43327</v>
      </c>
      <c r="B20" s="12">
        <f t="shared" ref="B20:B67" si="1">-$B$3*$B$2/2</f>
        <v>-32325.5</v>
      </c>
    </row>
    <row r="21" spans="1:2" s="84" customFormat="1" hidden="1" outlineLevel="1" x14ac:dyDescent="0.2">
      <c r="A21" s="5">
        <v>43511</v>
      </c>
      <c r="B21" s="12">
        <f t="shared" si="1"/>
        <v>-32325.5</v>
      </c>
    </row>
    <row r="22" spans="1:2" s="84" customFormat="1" hidden="1" outlineLevel="1" x14ac:dyDescent="0.2">
      <c r="A22" s="5">
        <v>43692</v>
      </c>
      <c r="B22" s="12">
        <f t="shared" si="1"/>
        <v>-32325.5</v>
      </c>
    </row>
    <row r="23" spans="1:2" s="84" customFormat="1" hidden="1" outlineLevel="1" x14ac:dyDescent="0.2">
      <c r="A23" s="5">
        <v>43876</v>
      </c>
      <c r="B23" s="12">
        <f t="shared" si="1"/>
        <v>-32325.5</v>
      </c>
    </row>
    <row r="24" spans="1:2" s="84" customFormat="1" hidden="1" outlineLevel="1" x14ac:dyDescent="0.2">
      <c r="A24" s="5">
        <v>44058</v>
      </c>
      <c r="B24" s="12">
        <f t="shared" si="1"/>
        <v>-32325.5</v>
      </c>
    </row>
    <row r="25" spans="1:2" s="84" customFormat="1" hidden="1" outlineLevel="1" x14ac:dyDescent="0.2">
      <c r="A25" s="5">
        <v>44242</v>
      </c>
      <c r="B25" s="12">
        <f t="shared" si="1"/>
        <v>-32325.5</v>
      </c>
    </row>
    <row r="26" spans="1:2" s="84" customFormat="1" hidden="1" outlineLevel="1" x14ac:dyDescent="0.2">
      <c r="A26" s="5">
        <v>44423</v>
      </c>
      <c r="B26" s="12">
        <f t="shared" si="1"/>
        <v>-32325.5</v>
      </c>
    </row>
    <row r="27" spans="1:2" s="84" customFormat="1" hidden="1" outlineLevel="1" x14ac:dyDescent="0.2">
      <c r="A27" s="5">
        <v>44607</v>
      </c>
      <c r="B27" s="12">
        <f t="shared" si="1"/>
        <v>-32325.5</v>
      </c>
    </row>
    <row r="28" spans="1:2" s="84" customFormat="1" hidden="1" outlineLevel="1" x14ac:dyDescent="0.2">
      <c r="A28" s="5">
        <v>44788</v>
      </c>
      <c r="B28" s="12">
        <f t="shared" si="1"/>
        <v>-32325.5</v>
      </c>
    </row>
    <row r="29" spans="1:2" s="84" customFormat="1" hidden="1" outlineLevel="1" x14ac:dyDescent="0.2">
      <c r="A29" s="5">
        <v>44972</v>
      </c>
      <c r="B29" s="12">
        <f t="shared" si="1"/>
        <v>-32325.5</v>
      </c>
    </row>
    <row r="30" spans="1:2" s="84" customFormat="1" hidden="1" outlineLevel="1" x14ac:dyDescent="0.2">
      <c r="A30" s="5">
        <v>45153</v>
      </c>
      <c r="B30" s="12">
        <f t="shared" si="1"/>
        <v>-32325.5</v>
      </c>
    </row>
    <row r="31" spans="1:2" s="84" customFormat="1" hidden="1" outlineLevel="1" x14ac:dyDescent="0.2">
      <c r="A31" s="5">
        <v>45337</v>
      </c>
      <c r="B31" s="12">
        <f t="shared" si="1"/>
        <v>-32325.5</v>
      </c>
    </row>
    <row r="32" spans="1:2" s="84" customFormat="1" hidden="1" outlineLevel="1" x14ac:dyDescent="0.2">
      <c r="A32" s="5">
        <v>45519</v>
      </c>
      <c r="B32" s="12">
        <f t="shared" si="1"/>
        <v>-32325.5</v>
      </c>
    </row>
    <row r="33" spans="1:2" s="84" customFormat="1" hidden="1" outlineLevel="1" x14ac:dyDescent="0.2">
      <c r="A33" s="5">
        <v>45703</v>
      </c>
      <c r="B33" s="12">
        <f t="shared" si="1"/>
        <v>-32325.5</v>
      </c>
    </row>
    <row r="34" spans="1:2" s="84" customFormat="1" hidden="1" outlineLevel="1" x14ac:dyDescent="0.2">
      <c r="A34" s="5">
        <v>45884</v>
      </c>
      <c r="B34" s="12">
        <f t="shared" si="1"/>
        <v>-32325.5</v>
      </c>
    </row>
    <row r="35" spans="1:2" s="84" customFormat="1" hidden="1" outlineLevel="1" x14ac:dyDescent="0.2">
      <c r="A35" s="5">
        <v>46068</v>
      </c>
      <c r="B35" s="12">
        <f t="shared" si="1"/>
        <v>-32325.5</v>
      </c>
    </row>
    <row r="36" spans="1:2" s="84" customFormat="1" hidden="1" outlineLevel="1" x14ac:dyDescent="0.2">
      <c r="A36" s="5">
        <v>46249</v>
      </c>
      <c r="B36" s="12">
        <f t="shared" si="1"/>
        <v>-32325.5</v>
      </c>
    </row>
    <row r="37" spans="1:2" s="84" customFormat="1" hidden="1" outlineLevel="1" x14ac:dyDescent="0.2">
      <c r="A37" s="5">
        <v>46433</v>
      </c>
      <c r="B37" s="12">
        <f t="shared" si="1"/>
        <v>-32325.5</v>
      </c>
    </row>
    <row r="38" spans="1:2" s="84" customFormat="1" hidden="1" outlineLevel="1" x14ac:dyDescent="0.2">
      <c r="A38" s="5">
        <v>46614</v>
      </c>
      <c r="B38" s="12">
        <f t="shared" si="1"/>
        <v>-32325.5</v>
      </c>
    </row>
    <row r="39" spans="1:2" s="84" customFormat="1" hidden="1" outlineLevel="1" x14ac:dyDescent="0.2">
      <c r="A39" s="5">
        <v>46798</v>
      </c>
      <c r="B39" s="12">
        <f t="shared" si="1"/>
        <v>-32325.5</v>
      </c>
    </row>
    <row r="40" spans="1:2" s="84" customFormat="1" hidden="1" outlineLevel="1" x14ac:dyDescent="0.2">
      <c r="A40" s="5">
        <v>46980</v>
      </c>
      <c r="B40" s="12">
        <f t="shared" si="1"/>
        <v>-32325.5</v>
      </c>
    </row>
    <row r="41" spans="1:2" s="84" customFormat="1" hidden="1" outlineLevel="1" x14ac:dyDescent="0.2">
      <c r="A41" s="5">
        <v>47164</v>
      </c>
      <c r="B41" s="12">
        <f t="shared" si="1"/>
        <v>-32325.5</v>
      </c>
    </row>
    <row r="42" spans="1:2" s="84" customFormat="1" hidden="1" outlineLevel="1" x14ac:dyDescent="0.2">
      <c r="A42" s="5">
        <v>47345</v>
      </c>
      <c r="B42" s="12">
        <f t="shared" si="1"/>
        <v>-32325.5</v>
      </c>
    </row>
    <row r="43" spans="1:2" s="84" customFormat="1" hidden="1" outlineLevel="1" x14ac:dyDescent="0.2">
      <c r="A43" s="5">
        <v>47529</v>
      </c>
      <c r="B43" s="12">
        <f t="shared" si="1"/>
        <v>-32325.5</v>
      </c>
    </row>
    <row r="44" spans="1:2" s="84" customFormat="1" hidden="1" outlineLevel="1" x14ac:dyDescent="0.2">
      <c r="A44" s="5">
        <v>47710</v>
      </c>
      <c r="B44" s="12">
        <f t="shared" si="1"/>
        <v>-32325.5</v>
      </c>
    </row>
    <row r="45" spans="1:2" s="84" customFormat="1" hidden="1" outlineLevel="1" x14ac:dyDescent="0.2">
      <c r="A45" s="5">
        <v>47894</v>
      </c>
      <c r="B45" s="12">
        <f t="shared" si="1"/>
        <v>-32325.5</v>
      </c>
    </row>
    <row r="46" spans="1:2" s="84" customFormat="1" hidden="1" outlineLevel="1" x14ac:dyDescent="0.2">
      <c r="A46" s="5">
        <v>48075</v>
      </c>
      <c r="B46" s="12">
        <f t="shared" si="1"/>
        <v>-32325.5</v>
      </c>
    </row>
    <row r="47" spans="1:2" s="84" customFormat="1" hidden="1" outlineLevel="1" x14ac:dyDescent="0.2">
      <c r="A47" s="5">
        <v>48259</v>
      </c>
      <c r="B47" s="12">
        <f t="shared" si="1"/>
        <v>-32325.5</v>
      </c>
    </row>
    <row r="48" spans="1:2" s="84" customFormat="1" hidden="1" outlineLevel="1" x14ac:dyDescent="0.2">
      <c r="A48" s="5">
        <v>48441</v>
      </c>
      <c r="B48" s="12">
        <f t="shared" si="1"/>
        <v>-32325.5</v>
      </c>
    </row>
    <row r="49" spans="1:2" s="84" customFormat="1" hidden="1" outlineLevel="1" x14ac:dyDescent="0.2">
      <c r="A49" s="5">
        <v>48625</v>
      </c>
      <c r="B49" s="12">
        <f t="shared" si="1"/>
        <v>-32325.5</v>
      </c>
    </row>
    <row r="50" spans="1:2" s="84" customFormat="1" hidden="1" outlineLevel="1" x14ac:dyDescent="0.2">
      <c r="A50" s="5">
        <v>48806</v>
      </c>
      <c r="B50" s="12">
        <f t="shared" si="1"/>
        <v>-32325.5</v>
      </c>
    </row>
    <row r="51" spans="1:2" s="84" customFormat="1" hidden="1" outlineLevel="1" x14ac:dyDescent="0.2">
      <c r="A51" s="5">
        <v>48990</v>
      </c>
      <c r="B51" s="12">
        <f t="shared" si="1"/>
        <v>-32325.5</v>
      </c>
    </row>
    <row r="52" spans="1:2" s="84" customFormat="1" hidden="1" outlineLevel="1" x14ac:dyDescent="0.2">
      <c r="A52" s="5">
        <v>49171</v>
      </c>
      <c r="B52" s="12">
        <f t="shared" si="1"/>
        <v>-32325.5</v>
      </c>
    </row>
    <row r="53" spans="1:2" s="84" customFormat="1" hidden="1" outlineLevel="1" x14ac:dyDescent="0.2">
      <c r="A53" s="5">
        <v>49355</v>
      </c>
      <c r="B53" s="12">
        <f t="shared" si="1"/>
        <v>-32325.5</v>
      </c>
    </row>
    <row r="54" spans="1:2" s="84" customFormat="1" hidden="1" outlineLevel="1" x14ac:dyDescent="0.2">
      <c r="A54" s="5">
        <v>49536</v>
      </c>
      <c r="B54" s="12">
        <f t="shared" si="1"/>
        <v>-32325.5</v>
      </c>
    </row>
    <row r="55" spans="1:2" s="84" customFormat="1" hidden="1" outlineLevel="1" x14ac:dyDescent="0.2">
      <c r="A55" s="5">
        <v>49720</v>
      </c>
      <c r="B55" s="12">
        <f t="shared" si="1"/>
        <v>-32325.5</v>
      </c>
    </row>
    <row r="56" spans="1:2" s="84" customFormat="1" hidden="1" outlineLevel="1" x14ac:dyDescent="0.2">
      <c r="A56" s="5">
        <v>49902</v>
      </c>
      <c r="B56" s="12">
        <f t="shared" si="1"/>
        <v>-32325.5</v>
      </c>
    </row>
    <row r="57" spans="1:2" s="84" customFormat="1" hidden="1" outlineLevel="1" x14ac:dyDescent="0.2">
      <c r="A57" s="5">
        <v>50086</v>
      </c>
      <c r="B57" s="12">
        <f t="shared" si="1"/>
        <v>-32325.5</v>
      </c>
    </row>
    <row r="58" spans="1:2" s="84" customFormat="1" hidden="1" outlineLevel="1" x14ac:dyDescent="0.2">
      <c r="A58" s="5">
        <v>50267</v>
      </c>
      <c r="B58" s="12">
        <f t="shared" si="1"/>
        <v>-32325.5</v>
      </c>
    </row>
    <row r="59" spans="1:2" s="84" customFormat="1" hidden="1" outlineLevel="1" x14ac:dyDescent="0.2">
      <c r="A59" s="5">
        <v>50451</v>
      </c>
      <c r="B59" s="12">
        <f t="shared" si="1"/>
        <v>-32325.5</v>
      </c>
    </row>
    <row r="60" spans="1:2" s="84" customFormat="1" collapsed="1" x14ac:dyDescent="0.2">
      <c r="A60" s="5">
        <v>50632</v>
      </c>
      <c r="B60" s="12">
        <f t="shared" si="1"/>
        <v>-32325.5</v>
      </c>
    </row>
    <row r="61" spans="1:2" s="84" customFormat="1" x14ac:dyDescent="0.2">
      <c r="A61" s="5">
        <v>50816</v>
      </c>
      <c r="B61" s="12">
        <f t="shared" si="1"/>
        <v>-32325.5</v>
      </c>
    </row>
    <row r="62" spans="1:2" s="84" customFormat="1" x14ac:dyDescent="0.2">
      <c r="A62" s="5">
        <v>50997</v>
      </c>
      <c r="B62" s="12">
        <f t="shared" si="1"/>
        <v>-32325.5</v>
      </c>
    </row>
    <row r="63" spans="1:2" s="84" customFormat="1" x14ac:dyDescent="0.2">
      <c r="A63" s="5">
        <v>51181</v>
      </c>
      <c r="B63" s="12">
        <f t="shared" si="1"/>
        <v>-32325.5</v>
      </c>
    </row>
    <row r="64" spans="1:2" s="84" customFormat="1" x14ac:dyDescent="0.2">
      <c r="A64" s="5">
        <v>51363</v>
      </c>
      <c r="B64" s="12">
        <f t="shared" si="1"/>
        <v>-32325.5</v>
      </c>
    </row>
    <row r="65" spans="1:3" s="84" customFormat="1" x14ac:dyDescent="0.2">
      <c r="A65" s="5">
        <v>51547</v>
      </c>
      <c r="B65" s="12">
        <f t="shared" si="1"/>
        <v>-32325.5</v>
      </c>
    </row>
    <row r="66" spans="1:3" s="84" customFormat="1" x14ac:dyDescent="0.2">
      <c r="A66" s="5">
        <v>51728</v>
      </c>
      <c r="B66" s="12">
        <f t="shared" si="1"/>
        <v>-32325.5</v>
      </c>
    </row>
    <row r="67" spans="1:3" s="84" customFormat="1" x14ac:dyDescent="0.2">
      <c r="A67" s="5">
        <v>51912</v>
      </c>
      <c r="B67" s="12">
        <f t="shared" si="1"/>
        <v>-32325.5</v>
      </c>
    </row>
    <row r="68" spans="1:3" x14ac:dyDescent="0.2">
      <c r="A68" s="5">
        <v>52093</v>
      </c>
      <c r="B68" s="12">
        <f>-$B$3*$B$2/2-B2</f>
        <v>-1732325.5</v>
      </c>
      <c r="C68" t="e">
        <f ca="1">getformula(B68)</f>
        <v>#NAME?</v>
      </c>
    </row>
    <row r="70" spans="1:3" x14ac:dyDescent="0.2">
      <c r="A70" s="27" t="s">
        <v>76</v>
      </c>
      <c r="B70" s="24">
        <f>IRR(B8:B68)</f>
        <v>1.9014999999999338E-2</v>
      </c>
      <c r="C70" t="e">
        <f ca="1">getformula(B70)</f>
        <v>#NAME?</v>
      </c>
    </row>
    <row r="71" spans="1:3" x14ac:dyDescent="0.2">
      <c r="A71" s="27" t="s">
        <v>77</v>
      </c>
      <c r="B71" s="24">
        <f>(1+B70)^2-1</f>
        <v>3.8391570224998617E-2</v>
      </c>
      <c r="C71" t="e">
        <f ca="1">getformula(B71)</f>
        <v>#NAME?</v>
      </c>
    </row>
    <row r="72" spans="1:3" x14ac:dyDescent="0.2">
      <c r="A72" s="27" t="s">
        <v>75</v>
      </c>
      <c r="B72" s="24">
        <f>XIRR(B8:B68,A8:A68)</f>
        <v>3.8364437222480785E-2</v>
      </c>
      <c r="C72" t="e">
        <f ca="1">getformula(B72)</f>
        <v>#NAME?</v>
      </c>
    </row>
  </sheetData>
  <mergeCells count="1">
    <mergeCell ref="A1:C1"/>
  </mergeCells>
  <phoneticPr fontId="6" type="noConversion"/>
  <printOptions headings="1" gridLines="1"/>
  <pageMargins left="0.75" right="0.75" top="1" bottom="1" header="0.5" footer="0.5"/>
  <pageSetup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F70"/>
  <sheetViews>
    <sheetView workbookViewId="0">
      <selection sqref="A1:C1"/>
    </sheetView>
  </sheetViews>
  <sheetFormatPr defaultRowHeight="12.75" outlineLevelRow="1" x14ac:dyDescent="0.2"/>
  <cols>
    <col min="1" max="1" width="28" customWidth="1"/>
    <col min="2" max="2" width="11.140625" customWidth="1"/>
    <col min="3" max="3" width="33.85546875" customWidth="1"/>
    <col min="4" max="4" width="22.42578125" customWidth="1"/>
    <col min="5" max="5" width="9.140625" bestFit="1" customWidth="1"/>
    <col min="6" max="6" width="15.7109375" bestFit="1" customWidth="1"/>
  </cols>
  <sheetData>
    <row r="1" spans="1:6" ht="54.75" customHeight="1" x14ac:dyDescent="0.2">
      <c r="A1" s="261" t="s">
        <v>306</v>
      </c>
      <c r="B1" s="261"/>
      <c r="C1" s="261"/>
    </row>
    <row r="2" spans="1:6" x14ac:dyDescent="0.2">
      <c r="A2" t="s">
        <v>16</v>
      </c>
      <c r="B2" s="12">
        <v>1000</v>
      </c>
      <c r="D2" s="8" t="s">
        <v>24</v>
      </c>
    </row>
    <row r="3" spans="1:6" x14ac:dyDescent="0.2">
      <c r="A3" t="s">
        <v>11</v>
      </c>
      <c r="B3" s="10">
        <v>3.8030000000000001E-2</v>
      </c>
    </row>
    <row r="4" spans="1:6" x14ac:dyDescent="0.2">
      <c r="D4" t="s">
        <v>21</v>
      </c>
      <c r="E4" s="1">
        <v>41922</v>
      </c>
    </row>
    <row r="5" spans="1:6" x14ac:dyDescent="0.2">
      <c r="A5" t="s">
        <v>69</v>
      </c>
      <c r="B5" s="12">
        <f>96.25/100*1000</f>
        <v>962.5</v>
      </c>
      <c r="C5" t="e">
        <f ca="1">"&lt;-- "&amp;_xlfn.FORMULATEXT(B5)</f>
        <v>#NAME?</v>
      </c>
      <c r="D5" t="s">
        <v>22</v>
      </c>
      <c r="E5" s="1">
        <v>41866</v>
      </c>
    </row>
    <row r="6" spans="1:6" x14ac:dyDescent="0.2">
      <c r="A6" t="s">
        <v>18</v>
      </c>
      <c r="B6" s="12">
        <f>E12</f>
        <v>5.7871739130434792</v>
      </c>
      <c r="C6" t="e">
        <f ca="1">"&lt;-- "&amp;_xlfn.FORMULATEXT(B6)</f>
        <v>#NAME?</v>
      </c>
      <c r="D6" t="s">
        <v>23</v>
      </c>
      <c r="E6" s="1">
        <v>42050</v>
      </c>
    </row>
    <row r="7" spans="1:6" x14ac:dyDescent="0.2">
      <c r="A7" t="s">
        <v>19</v>
      </c>
      <c r="B7" s="12">
        <f>B5+B6</f>
        <v>968.28717391304349</v>
      </c>
      <c r="C7" s="84" t="e">
        <f ca="1">"&lt;-- "&amp;_xlfn.FORMULATEXT(B7)</f>
        <v>#NAME?</v>
      </c>
    </row>
    <row r="8" spans="1:6" x14ac:dyDescent="0.2">
      <c r="D8" t="s">
        <v>25</v>
      </c>
      <c r="E8">
        <f>E4-E5</f>
        <v>56</v>
      </c>
      <c r="F8" t="e">
        <f ca="1">"&lt;-- "&amp;_xlfn.FORMULATEXT(E8)</f>
        <v>#NAME?</v>
      </c>
    </row>
    <row r="9" spans="1:6" x14ac:dyDescent="0.2">
      <c r="A9" s="3" t="s">
        <v>14</v>
      </c>
      <c r="B9" s="3" t="s">
        <v>15</v>
      </c>
      <c r="D9" t="s">
        <v>26</v>
      </c>
      <c r="E9">
        <f>E6-E5</f>
        <v>184</v>
      </c>
      <c r="F9" t="e">
        <f ca="1">"&lt;-- "&amp;_xlfn.FORMULATEXT(E9)</f>
        <v>#NAME?</v>
      </c>
    </row>
    <row r="10" spans="1:6" x14ac:dyDescent="0.2">
      <c r="A10" s="19">
        <f>E4</f>
        <v>41922</v>
      </c>
      <c r="B10" s="12">
        <f>-B7</f>
        <v>-968.28717391304349</v>
      </c>
      <c r="C10" t="e">
        <f ca="1">"&lt;-- "&amp;_xlfn.FORMULATEXT(B10)</f>
        <v>#NAME?</v>
      </c>
    </row>
    <row r="11" spans="1:6" x14ac:dyDescent="0.2">
      <c r="A11" s="19">
        <f>E6</f>
        <v>42050</v>
      </c>
      <c r="B11" s="12">
        <f t="shared" ref="B11:B65" si="0">$B$3*$B$2/2</f>
        <v>19.015000000000001</v>
      </c>
      <c r="C11" t="e">
        <f ca="1">"&lt;-- "&amp;_xlfn.FORMULATEXT(B11)</f>
        <v>#NAME?</v>
      </c>
      <c r="D11" t="s">
        <v>27</v>
      </c>
      <c r="E11" s="18">
        <f>B3/2*B2</f>
        <v>19.015000000000001</v>
      </c>
      <c r="F11" t="e">
        <f ca="1">"&lt;-- "&amp;_xlfn.FORMULATEXT(E11)</f>
        <v>#NAME?</v>
      </c>
    </row>
    <row r="12" spans="1:6" x14ac:dyDescent="0.2">
      <c r="A12" s="19">
        <v>42231</v>
      </c>
      <c r="B12" s="12">
        <f t="shared" si="0"/>
        <v>19.015000000000001</v>
      </c>
      <c r="D12" t="s">
        <v>18</v>
      </c>
      <c r="E12" s="18">
        <f>E8/E9*E11</f>
        <v>5.7871739130434792</v>
      </c>
      <c r="F12" t="e">
        <f ca="1">"&lt;-- "&amp;_xlfn.FORMULATEXT(E12)</f>
        <v>#NAME?</v>
      </c>
    </row>
    <row r="13" spans="1:6" x14ac:dyDescent="0.2">
      <c r="A13" s="19">
        <v>42415</v>
      </c>
      <c r="B13" s="12">
        <f t="shared" si="0"/>
        <v>19.015000000000001</v>
      </c>
    </row>
    <row r="14" spans="1:6" x14ac:dyDescent="0.2">
      <c r="A14" s="19">
        <v>42597</v>
      </c>
      <c r="B14" s="12">
        <f t="shared" si="0"/>
        <v>19.015000000000001</v>
      </c>
    </row>
    <row r="15" spans="1:6" hidden="1" outlineLevel="1" x14ac:dyDescent="0.2">
      <c r="A15" s="19">
        <v>42781</v>
      </c>
      <c r="B15" s="12">
        <f t="shared" si="0"/>
        <v>19.015000000000001</v>
      </c>
    </row>
    <row r="16" spans="1:6" hidden="1" outlineLevel="1" x14ac:dyDescent="0.2">
      <c r="A16" s="19">
        <v>42962</v>
      </c>
      <c r="B16" s="12">
        <f t="shared" si="0"/>
        <v>19.015000000000001</v>
      </c>
    </row>
    <row r="17" spans="1:2" hidden="1" outlineLevel="1" x14ac:dyDescent="0.2">
      <c r="A17" s="19">
        <v>43146</v>
      </c>
      <c r="B17" s="12">
        <f t="shared" si="0"/>
        <v>19.015000000000001</v>
      </c>
    </row>
    <row r="18" spans="1:2" hidden="1" outlineLevel="1" x14ac:dyDescent="0.2">
      <c r="A18" s="19">
        <v>43327</v>
      </c>
      <c r="B18" s="12">
        <f t="shared" si="0"/>
        <v>19.015000000000001</v>
      </c>
    </row>
    <row r="19" spans="1:2" hidden="1" outlineLevel="1" x14ac:dyDescent="0.2">
      <c r="A19" s="19">
        <v>43511</v>
      </c>
      <c r="B19" s="12">
        <f t="shared" si="0"/>
        <v>19.015000000000001</v>
      </c>
    </row>
    <row r="20" spans="1:2" hidden="1" outlineLevel="1" x14ac:dyDescent="0.2">
      <c r="A20" s="19">
        <v>43692</v>
      </c>
      <c r="B20" s="12">
        <f t="shared" si="0"/>
        <v>19.015000000000001</v>
      </c>
    </row>
    <row r="21" spans="1:2" hidden="1" outlineLevel="1" x14ac:dyDescent="0.2">
      <c r="A21" s="19">
        <v>43876</v>
      </c>
      <c r="B21" s="12">
        <f t="shared" si="0"/>
        <v>19.015000000000001</v>
      </c>
    </row>
    <row r="22" spans="1:2" s="84" customFormat="1" hidden="1" outlineLevel="1" x14ac:dyDescent="0.2">
      <c r="A22" s="19">
        <v>44058</v>
      </c>
      <c r="B22" s="12">
        <f t="shared" si="0"/>
        <v>19.015000000000001</v>
      </c>
    </row>
    <row r="23" spans="1:2" s="84" customFormat="1" hidden="1" outlineLevel="1" x14ac:dyDescent="0.2">
      <c r="A23" s="19">
        <v>44242</v>
      </c>
      <c r="B23" s="12">
        <f t="shared" si="0"/>
        <v>19.015000000000001</v>
      </c>
    </row>
    <row r="24" spans="1:2" s="84" customFormat="1" hidden="1" outlineLevel="1" x14ac:dyDescent="0.2">
      <c r="A24" s="19">
        <v>44423</v>
      </c>
      <c r="B24" s="12">
        <f t="shared" si="0"/>
        <v>19.015000000000001</v>
      </c>
    </row>
    <row r="25" spans="1:2" s="84" customFormat="1" hidden="1" outlineLevel="1" x14ac:dyDescent="0.2">
      <c r="A25" s="19">
        <v>44607</v>
      </c>
      <c r="B25" s="12">
        <f t="shared" si="0"/>
        <v>19.015000000000001</v>
      </c>
    </row>
    <row r="26" spans="1:2" s="84" customFormat="1" hidden="1" outlineLevel="1" x14ac:dyDescent="0.2">
      <c r="A26" s="19">
        <v>44788</v>
      </c>
      <c r="B26" s="12">
        <f t="shared" si="0"/>
        <v>19.015000000000001</v>
      </c>
    </row>
    <row r="27" spans="1:2" s="84" customFormat="1" hidden="1" outlineLevel="1" x14ac:dyDescent="0.2">
      <c r="A27" s="19">
        <v>44972</v>
      </c>
      <c r="B27" s="12">
        <f t="shared" si="0"/>
        <v>19.015000000000001</v>
      </c>
    </row>
    <row r="28" spans="1:2" s="84" customFormat="1" hidden="1" outlineLevel="1" x14ac:dyDescent="0.2">
      <c r="A28" s="19">
        <v>45153</v>
      </c>
      <c r="B28" s="12">
        <f t="shared" si="0"/>
        <v>19.015000000000001</v>
      </c>
    </row>
    <row r="29" spans="1:2" s="84" customFormat="1" hidden="1" outlineLevel="1" x14ac:dyDescent="0.2">
      <c r="A29" s="19">
        <v>45337</v>
      </c>
      <c r="B29" s="12">
        <f t="shared" si="0"/>
        <v>19.015000000000001</v>
      </c>
    </row>
    <row r="30" spans="1:2" s="84" customFormat="1" hidden="1" outlineLevel="1" x14ac:dyDescent="0.2">
      <c r="A30" s="19">
        <v>45519</v>
      </c>
      <c r="B30" s="12">
        <f t="shared" si="0"/>
        <v>19.015000000000001</v>
      </c>
    </row>
    <row r="31" spans="1:2" s="84" customFormat="1" hidden="1" outlineLevel="1" x14ac:dyDescent="0.2">
      <c r="A31" s="19">
        <v>45703</v>
      </c>
      <c r="B31" s="12">
        <f t="shared" si="0"/>
        <v>19.015000000000001</v>
      </c>
    </row>
    <row r="32" spans="1:2" s="84" customFormat="1" hidden="1" outlineLevel="1" x14ac:dyDescent="0.2">
      <c r="A32" s="19">
        <v>45884</v>
      </c>
      <c r="B32" s="12">
        <f t="shared" si="0"/>
        <v>19.015000000000001</v>
      </c>
    </row>
    <row r="33" spans="1:2" s="84" customFormat="1" hidden="1" outlineLevel="1" x14ac:dyDescent="0.2">
      <c r="A33" s="19">
        <v>46068</v>
      </c>
      <c r="B33" s="12">
        <f t="shared" si="0"/>
        <v>19.015000000000001</v>
      </c>
    </row>
    <row r="34" spans="1:2" s="84" customFormat="1" hidden="1" outlineLevel="1" x14ac:dyDescent="0.2">
      <c r="A34" s="19">
        <v>46249</v>
      </c>
      <c r="B34" s="12">
        <f t="shared" si="0"/>
        <v>19.015000000000001</v>
      </c>
    </row>
    <row r="35" spans="1:2" s="84" customFormat="1" hidden="1" outlineLevel="1" x14ac:dyDescent="0.2">
      <c r="A35" s="19">
        <v>46433</v>
      </c>
      <c r="B35" s="12">
        <f t="shared" si="0"/>
        <v>19.015000000000001</v>
      </c>
    </row>
    <row r="36" spans="1:2" s="84" customFormat="1" hidden="1" outlineLevel="1" x14ac:dyDescent="0.2">
      <c r="A36" s="19">
        <v>46614</v>
      </c>
      <c r="B36" s="12">
        <f t="shared" si="0"/>
        <v>19.015000000000001</v>
      </c>
    </row>
    <row r="37" spans="1:2" s="84" customFormat="1" hidden="1" outlineLevel="1" x14ac:dyDescent="0.2">
      <c r="A37" s="19">
        <v>46798</v>
      </c>
      <c r="B37" s="12">
        <f t="shared" si="0"/>
        <v>19.015000000000001</v>
      </c>
    </row>
    <row r="38" spans="1:2" s="84" customFormat="1" hidden="1" outlineLevel="1" x14ac:dyDescent="0.2">
      <c r="A38" s="19">
        <v>46980</v>
      </c>
      <c r="B38" s="12">
        <f t="shared" si="0"/>
        <v>19.015000000000001</v>
      </c>
    </row>
    <row r="39" spans="1:2" s="84" customFormat="1" hidden="1" outlineLevel="1" x14ac:dyDescent="0.2">
      <c r="A39" s="19">
        <v>47164</v>
      </c>
      <c r="B39" s="12">
        <f t="shared" si="0"/>
        <v>19.015000000000001</v>
      </c>
    </row>
    <row r="40" spans="1:2" s="84" customFormat="1" hidden="1" outlineLevel="1" x14ac:dyDescent="0.2">
      <c r="A40" s="19">
        <v>47345</v>
      </c>
      <c r="B40" s="12">
        <f t="shared" si="0"/>
        <v>19.015000000000001</v>
      </c>
    </row>
    <row r="41" spans="1:2" s="84" customFormat="1" hidden="1" outlineLevel="1" x14ac:dyDescent="0.2">
      <c r="A41" s="19">
        <v>47529</v>
      </c>
      <c r="B41" s="12">
        <f t="shared" si="0"/>
        <v>19.015000000000001</v>
      </c>
    </row>
    <row r="42" spans="1:2" s="84" customFormat="1" hidden="1" outlineLevel="1" x14ac:dyDescent="0.2">
      <c r="A42" s="19">
        <v>47710</v>
      </c>
      <c r="B42" s="12">
        <f t="shared" si="0"/>
        <v>19.015000000000001</v>
      </c>
    </row>
    <row r="43" spans="1:2" s="84" customFormat="1" hidden="1" outlineLevel="1" x14ac:dyDescent="0.2">
      <c r="A43" s="19">
        <v>47894</v>
      </c>
      <c r="B43" s="12">
        <f t="shared" si="0"/>
        <v>19.015000000000001</v>
      </c>
    </row>
    <row r="44" spans="1:2" s="84" customFormat="1" hidden="1" outlineLevel="1" x14ac:dyDescent="0.2">
      <c r="A44" s="19">
        <v>48075</v>
      </c>
      <c r="B44" s="12">
        <f t="shared" si="0"/>
        <v>19.015000000000001</v>
      </c>
    </row>
    <row r="45" spans="1:2" s="84" customFormat="1" hidden="1" outlineLevel="1" x14ac:dyDescent="0.2">
      <c r="A45" s="19">
        <v>48259</v>
      </c>
      <c r="B45" s="12">
        <f t="shared" si="0"/>
        <v>19.015000000000001</v>
      </c>
    </row>
    <row r="46" spans="1:2" s="84" customFormat="1" hidden="1" outlineLevel="1" x14ac:dyDescent="0.2">
      <c r="A46" s="19">
        <v>48441</v>
      </c>
      <c r="B46" s="12">
        <f t="shared" si="0"/>
        <v>19.015000000000001</v>
      </c>
    </row>
    <row r="47" spans="1:2" s="84" customFormat="1" hidden="1" outlineLevel="1" x14ac:dyDescent="0.2">
      <c r="A47" s="19">
        <v>48625</v>
      </c>
      <c r="B47" s="12">
        <f t="shared" si="0"/>
        <v>19.015000000000001</v>
      </c>
    </row>
    <row r="48" spans="1:2" s="84" customFormat="1" hidden="1" outlineLevel="1" x14ac:dyDescent="0.2">
      <c r="A48" s="19">
        <v>48806</v>
      </c>
      <c r="B48" s="12">
        <f t="shared" si="0"/>
        <v>19.015000000000001</v>
      </c>
    </row>
    <row r="49" spans="1:2" s="84" customFormat="1" hidden="1" outlineLevel="1" x14ac:dyDescent="0.2">
      <c r="A49" s="19">
        <v>48990</v>
      </c>
      <c r="B49" s="12">
        <f t="shared" si="0"/>
        <v>19.015000000000001</v>
      </c>
    </row>
    <row r="50" spans="1:2" s="84" customFormat="1" hidden="1" outlineLevel="1" x14ac:dyDescent="0.2">
      <c r="A50" s="19">
        <v>49171</v>
      </c>
      <c r="B50" s="12">
        <f t="shared" si="0"/>
        <v>19.015000000000001</v>
      </c>
    </row>
    <row r="51" spans="1:2" s="84" customFormat="1" hidden="1" outlineLevel="1" x14ac:dyDescent="0.2">
      <c r="A51" s="19">
        <v>49355</v>
      </c>
      <c r="B51" s="12">
        <f t="shared" si="0"/>
        <v>19.015000000000001</v>
      </c>
    </row>
    <row r="52" spans="1:2" s="84" customFormat="1" hidden="1" outlineLevel="1" x14ac:dyDescent="0.2">
      <c r="A52" s="19">
        <v>49536</v>
      </c>
      <c r="B52" s="12">
        <f t="shared" si="0"/>
        <v>19.015000000000001</v>
      </c>
    </row>
    <row r="53" spans="1:2" s="84" customFormat="1" hidden="1" outlineLevel="1" x14ac:dyDescent="0.2">
      <c r="A53" s="19">
        <v>49720</v>
      </c>
      <c r="B53" s="12">
        <f t="shared" si="0"/>
        <v>19.015000000000001</v>
      </c>
    </row>
    <row r="54" spans="1:2" s="84" customFormat="1" hidden="1" outlineLevel="1" x14ac:dyDescent="0.2">
      <c r="A54" s="19">
        <v>49902</v>
      </c>
      <c r="B54" s="12">
        <f t="shared" si="0"/>
        <v>19.015000000000001</v>
      </c>
    </row>
    <row r="55" spans="1:2" s="84" customFormat="1" hidden="1" outlineLevel="1" x14ac:dyDescent="0.2">
      <c r="A55" s="19">
        <v>50086</v>
      </c>
      <c r="B55" s="12">
        <f t="shared" si="0"/>
        <v>19.015000000000001</v>
      </c>
    </row>
    <row r="56" spans="1:2" s="84" customFormat="1" hidden="1" outlineLevel="1" x14ac:dyDescent="0.2">
      <c r="A56" s="19">
        <v>50267</v>
      </c>
      <c r="B56" s="12">
        <f t="shared" si="0"/>
        <v>19.015000000000001</v>
      </c>
    </row>
    <row r="57" spans="1:2" s="84" customFormat="1" hidden="1" outlineLevel="1" x14ac:dyDescent="0.2">
      <c r="A57" s="19">
        <v>50451</v>
      </c>
      <c r="B57" s="12">
        <f t="shared" si="0"/>
        <v>19.015000000000001</v>
      </c>
    </row>
    <row r="58" spans="1:2" s="84" customFormat="1" collapsed="1" x14ac:dyDescent="0.2">
      <c r="A58" s="19">
        <v>50632</v>
      </c>
      <c r="B58" s="12">
        <f t="shared" si="0"/>
        <v>19.015000000000001</v>
      </c>
    </row>
    <row r="59" spans="1:2" s="84" customFormat="1" x14ac:dyDescent="0.2">
      <c r="A59" s="19">
        <v>50816</v>
      </c>
      <c r="B59" s="12">
        <f t="shared" si="0"/>
        <v>19.015000000000001</v>
      </c>
    </row>
    <row r="60" spans="1:2" s="84" customFormat="1" x14ac:dyDescent="0.2">
      <c r="A60" s="19">
        <v>50997</v>
      </c>
      <c r="B60" s="12">
        <f t="shared" si="0"/>
        <v>19.015000000000001</v>
      </c>
    </row>
    <row r="61" spans="1:2" s="84" customFormat="1" x14ac:dyDescent="0.2">
      <c r="A61" s="19">
        <v>51181</v>
      </c>
      <c r="B61" s="12">
        <f t="shared" si="0"/>
        <v>19.015000000000001</v>
      </c>
    </row>
    <row r="62" spans="1:2" s="84" customFormat="1" x14ac:dyDescent="0.2">
      <c r="A62" s="19">
        <v>51363</v>
      </c>
      <c r="B62" s="12">
        <f t="shared" si="0"/>
        <v>19.015000000000001</v>
      </c>
    </row>
    <row r="63" spans="1:2" s="84" customFormat="1" x14ac:dyDescent="0.2">
      <c r="A63" s="19">
        <v>51547</v>
      </c>
      <c r="B63" s="12">
        <f t="shared" si="0"/>
        <v>19.015000000000001</v>
      </c>
    </row>
    <row r="64" spans="1:2" s="84" customFormat="1" x14ac:dyDescent="0.2">
      <c r="A64" s="19">
        <v>51728</v>
      </c>
      <c r="B64" s="12">
        <f t="shared" si="0"/>
        <v>19.015000000000001</v>
      </c>
    </row>
    <row r="65" spans="1:3" s="84" customFormat="1" x14ac:dyDescent="0.2">
      <c r="A65" s="19">
        <v>51912</v>
      </c>
      <c r="B65" s="12">
        <f t="shared" si="0"/>
        <v>19.015000000000001</v>
      </c>
    </row>
    <row r="66" spans="1:3" x14ac:dyDescent="0.2">
      <c r="A66" s="19">
        <v>52093</v>
      </c>
      <c r="B66" s="12">
        <f>$B$3*$B$2/2+B2</f>
        <v>1019.015</v>
      </c>
      <c r="C66" t="e">
        <f ca="1">"&lt;-- "&amp;_xlfn.FORMULATEXT(B66)</f>
        <v>#NAME?</v>
      </c>
    </row>
    <row r="68" spans="1:3" x14ac:dyDescent="0.2">
      <c r="A68" s="27" t="s">
        <v>68</v>
      </c>
      <c r="B68" s="24">
        <f>XIRR(B10:B66,A10:A66)</f>
        <v>4.0656384825706493E-2</v>
      </c>
      <c r="C68" t="e">
        <f ca="1">getformula(B68)</f>
        <v>#NAME?</v>
      </c>
    </row>
    <row r="69" spans="1:3" x14ac:dyDescent="0.2">
      <c r="A69" s="27" t="s">
        <v>70</v>
      </c>
      <c r="B69" s="24">
        <f>YIELD(A10,A66,B3,B5/10,100,2,3)</f>
        <v>4.028000658370013E-2</v>
      </c>
      <c r="C69" t="e">
        <f ca="1">getformula(B69)</f>
        <v>#NAME?</v>
      </c>
    </row>
    <row r="70" spans="1:3" x14ac:dyDescent="0.2">
      <c r="A70" s="27" t="s">
        <v>28</v>
      </c>
      <c r="B70" s="24">
        <f>(1+B69/2)^2-1</f>
        <v>4.068562631629602E-2</v>
      </c>
      <c r="C70" t="e">
        <f ca="1">getformula(B70)</f>
        <v>#NAME?</v>
      </c>
    </row>
  </sheetData>
  <mergeCells count="1">
    <mergeCell ref="A1:C1"/>
  </mergeCells>
  <phoneticPr fontId="6" type="noConversion"/>
  <printOptions headings="1" gridLines="1"/>
  <pageMargins left="0.75" right="0.75" top="1" bottom="1" header="0.5" footer="0.5"/>
  <pageSetup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C173"/>
  <sheetViews>
    <sheetView workbookViewId="0">
      <selection activeCell="B7" sqref="B7"/>
    </sheetView>
  </sheetViews>
  <sheetFormatPr defaultRowHeight="12.75" outlineLevelRow="1" x14ac:dyDescent="0.2"/>
  <cols>
    <col min="1" max="1" width="28.85546875" customWidth="1"/>
    <col min="2" max="2" width="10.7109375" customWidth="1"/>
    <col min="3" max="3" width="32.42578125" bestFit="1" customWidth="1"/>
  </cols>
  <sheetData>
    <row r="1" spans="1:3" ht="18" x14ac:dyDescent="0.2">
      <c r="A1" s="261" t="s">
        <v>78</v>
      </c>
      <c r="B1" s="261"/>
      <c r="C1" s="261"/>
    </row>
    <row r="2" spans="1:3" x14ac:dyDescent="0.2">
      <c r="A2" t="s">
        <v>7</v>
      </c>
      <c r="B2" s="17">
        <v>25</v>
      </c>
    </row>
    <row r="3" spans="1:3" x14ac:dyDescent="0.2">
      <c r="A3" t="s">
        <v>11</v>
      </c>
      <c r="B3" s="6">
        <v>4.7E-2</v>
      </c>
    </row>
    <row r="4" spans="1:3" x14ac:dyDescent="0.2">
      <c r="A4" t="s">
        <v>12</v>
      </c>
      <c r="B4" s="1">
        <v>56020</v>
      </c>
    </row>
    <row r="5" spans="1:3" x14ac:dyDescent="0.2">
      <c r="A5" t="s">
        <v>31</v>
      </c>
      <c r="B5" s="1">
        <v>41922</v>
      </c>
      <c r="C5" t="s">
        <v>80</v>
      </c>
    </row>
    <row r="6" spans="1:3" x14ac:dyDescent="0.2">
      <c r="A6" t="s">
        <v>71</v>
      </c>
      <c r="B6" s="1">
        <v>43236</v>
      </c>
      <c r="C6" s="36"/>
    </row>
    <row r="7" spans="1:3" x14ac:dyDescent="0.2">
      <c r="A7" t="s">
        <v>81</v>
      </c>
      <c r="B7" s="7">
        <v>23.21</v>
      </c>
    </row>
    <row r="9" spans="1:3" ht="15.75" x14ac:dyDescent="0.25">
      <c r="A9" s="265" t="s">
        <v>108</v>
      </c>
      <c r="B9" s="265"/>
      <c r="C9" s="265"/>
    </row>
    <row r="10" spans="1:3" x14ac:dyDescent="0.2">
      <c r="A10" s="3" t="s">
        <v>14</v>
      </c>
      <c r="B10" s="3" t="s">
        <v>15</v>
      </c>
    </row>
    <row r="11" spans="1:3" x14ac:dyDescent="0.2">
      <c r="A11" s="5">
        <f>B5</f>
        <v>41922</v>
      </c>
      <c r="B11" s="37">
        <f>-B7</f>
        <v>-23.21</v>
      </c>
      <c r="C11" t="e">
        <f ca="1">getformula(B11)</f>
        <v>#NAME?</v>
      </c>
    </row>
    <row r="12" spans="1:3" x14ac:dyDescent="0.2">
      <c r="A12" s="5">
        <v>41959</v>
      </c>
      <c r="B12" s="37">
        <f>$B$3*$B$2/4</f>
        <v>0.29375000000000001</v>
      </c>
      <c r="C12" t="e">
        <f ca="1">"&lt;-- "&amp;_xlfn.FORMULATEXT(B12)</f>
        <v>#NAME?</v>
      </c>
    </row>
    <row r="13" spans="1:3" x14ac:dyDescent="0.2">
      <c r="A13" s="5">
        <v>42051</v>
      </c>
      <c r="B13" s="37">
        <f t="shared" ref="B13:B76" si="0">$B$3*$B$2/4</f>
        <v>0.29375000000000001</v>
      </c>
      <c r="C13" t="e">
        <f ca="1">"&lt;-- "&amp;_xlfn.FORMULATEXT(B13)</f>
        <v>#NAME?</v>
      </c>
    </row>
    <row r="14" spans="1:3" x14ac:dyDescent="0.2">
      <c r="A14" s="5">
        <v>42140</v>
      </c>
      <c r="B14" s="37">
        <f t="shared" si="0"/>
        <v>0.29375000000000001</v>
      </c>
    </row>
    <row r="15" spans="1:3" x14ac:dyDescent="0.2">
      <c r="A15" s="5">
        <v>42232</v>
      </c>
      <c r="B15" s="37">
        <f t="shared" si="0"/>
        <v>0.29375000000000001</v>
      </c>
    </row>
    <row r="16" spans="1:3" x14ac:dyDescent="0.2">
      <c r="A16" s="5">
        <v>42324</v>
      </c>
      <c r="B16" s="37">
        <f t="shared" si="0"/>
        <v>0.29375000000000001</v>
      </c>
    </row>
    <row r="17" spans="1:2" x14ac:dyDescent="0.2">
      <c r="A17" s="5">
        <v>42416</v>
      </c>
      <c r="B17" s="37">
        <f t="shared" si="0"/>
        <v>0.29375000000000001</v>
      </c>
    </row>
    <row r="18" spans="1:2" hidden="1" outlineLevel="1" x14ac:dyDescent="0.2">
      <c r="A18" s="5">
        <v>42506</v>
      </c>
      <c r="B18" s="37">
        <f t="shared" si="0"/>
        <v>0.29375000000000001</v>
      </c>
    </row>
    <row r="19" spans="1:2" hidden="1" outlineLevel="1" x14ac:dyDescent="0.2">
      <c r="A19" s="5">
        <v>42598</v>
      </c>
      <c r="B19" s="37">
        <f t="shared" si="0"/>
        <v>0.29375000000000001</v>
      </c>
    </row>
    <row r="20" spans="1:2" hidden="1" outlineLevel="1" x14ac:dyDescent="0.2">
      <c r="A20" s="5">
        <v>42690</v>
      </c>
      <c r="B20" s="37">
        <f t="shared" si="0"/>
        <v>0.29375000000000001</v>
      </c>
    </row>
    <row r="21" spans="1:2" hidden="1" outlineLevel="1" x14ac:dyDescent="0.2">
      <c r="A21" s="5">
        <v>42782</v>
      </c>
      <c r="B21" s="37">
        <f t="shared" si="0"/>
        <v>0.29375000000000001</v>
      </c>
    </row>
    <row r="22" spans="1:2" hidden="1" outlineLevel="1" x14ac:dyDescent="0.2">
      <c r="A22" s="5">
        <v>42871</v>
      </c>
      <c r="B22" s="37">
        <f t="shared" si="0"/>
        <v>0.29375000000000001</v>
      </c>
    </row>
    <row r="23" spans="1:2" hidden="1" outlineLevel="1" x14ac:dyDescent="0.2">
      <c r="A23" s="5">
        <v>42963</v>
      </c>
      <c r="B23" s="37">
        <f t="shared" si="0"/>
        <v>0.29375000000000001</v>
      </c>
    </row>
    <row r="24" spans="1:2" hidden="1" outlineLevel="1" x14ac:dyDescent="0.2">
      <c r="A24" s="5">
        <v>43055</v>
      </c>
      <c r="B24" s="37">
        <f t="shared" si="0"/>
        <v>0.29375000000000001</v>
      </c>
    </row>
    <row r="25" spans="1:2" hidden="1" outlineLevel="1" x14ac:dyDescent="0.2">
      <c r="A25" s="5">
        <v>43147</v>
      </c>
      <c r="B25" s="37">
        <f t="shared" si="0"/>
        <v>0.29375000000000001</v>
      </c>
    </row>
    <row r="26" spans="1:2" hidden="1" outlineLevel="1" x14ac:dyDescent="0.2">
      <c r="A26" s="5">
        <v>43236</v>
      </c>
      <c r="B26" s="37">
        <f t="shared" si="0"/>
        <v>0.29375000000000001</v>
      </c>
    </row>
    <row r="27" spans="1:2" hidden="1" outlineLevel="1" x14ac:dyDescent="0.2">
      <c r="A27" s="5">
        <v>43328</v>
      </c>
      <c r="B27" s="37">
        <f t="shared" si="0"/>
        <v>0.29375000000000001</v>
      </c>
    </row>
    <row r="28" spans="1:2" hidden="1" outlineLevel="1" x14ac:dyDescent="0.2">
      <c r="A28" s="5">
        <v>43420</v>
      </c>
      <c r="B28" s="37">
        <f t="shared" si="0"/>
        <v>0.29375000000000001</v>
      </c>
    </row>
    <row r="29" spans="1:2" hidden="1" outlineLevel="1" x14ac:dyDescent="0.2">
      <c r="A29" s="5">
        <v>43512</v>
      </c>
      <c r="B29" s="37">
        <f t="shared" si="0"/>
        <v>0.29375000000000001</v>
      </c>
    </row>
    <row r="30" spans="1:2" hidden="1" outlineLevel="1" x14ac:dyDescent="0.2">
      <c r="A30" s="5">
        <v>43601</v>
      </c>
      <c r="B30" s="37">
        <f t="shared" si="0"/>
        <v>0.29375000000000001</v>
      </c>
    </row>
    <row r="31" spans="1:2" hidden="1" outlineLevel="1" x14ac:dyDescent="0.2">
      <c r="A31" s="5">
        <v>43693</v>
      </c>
      <c r="B31" s="37">
        <f t="shared" si="0"/>
        <v>0.29375000000000001</v>
      </c>
    </row>
    <row r="32" spans="1:2" hidden="1" outlineLevel="1" x14ac:dyDescent="0.2">
      <c r="A32" s="5">
        <v>43785</v>
      </c>
      <c r="B32" s="37">
        <f t="shared" si="0"/>
        <v>0.29375000000000001</v>
      </c>
    </row>
    <row r="33" spans="1:2" hidden="1" outlineLevel="1" x14ac:dyDescent="0.2">
      <c r="A33" s="5">
        <v>43877</v>
      </c>
      <c r="B33" s="37">
        <f t="shared" si="0"/>
        <v>0.29375000000000001</v>
      </c>
    </row>
    <row r="34" spans="1:2" hidden="1" outlineLevel="1" x14ac:dyDescent="0.2">
      <c r="A34" s="5">
        <v>43967</v>
      </c>
      <c r="B34" s="37">
        <f t="shared" si="0"/>
        <v>0.29375000000000001</v>
      </c>
    </row>
    <row r="35" spans="1:2" hidden="1" outlineLevel="1" x14ac:dyDescent="0.2">
      <c r="A35" s="5">
        <v>44059</v>
      </c>
      <c r="B35" s="37">
        <f t="shared" si="0"/>
        <v>0.29375000000000001</v>
      </c>
    </row>
    <row r="36" spans="1:2" hidden="1" outlineLevel="1" x14ac:dyDescent="0.2">
      <c r="A36" s="5">
        <v>44151</v>
      </c>
      <c r="B36" s="37">
        <f t="shared" si="0"/>
        <v>0.29375000000000001</v>
      </c>
    </row>
    <row r="37" spans="1:2" hidden="1" outlineLevel="1" x14ac:dyDescent="0.2">
      <c r="A37" s="5">
        <v>44243</v>
      </c>
      <c r="B37" s="37">
        <f t="shared" si="0"/>
        <v>0.29375000000000001</v>
      </c>
    </row>
    <row r="38" spans="1:2" hidden="1" outlineLevel="1" x14ac:dyDescent="0.2">
      <c r="A38" s="5">
        <v>44332</v>
      </c>
      <c r="B38" s="37">
        <f t="shared" si="0"/>
        <v>0.29375000000000001</v>
      </c>
    </row>
    <row r="39" spans="1:2" hidden="1" outlineLevel="1" x14ac:dyDescent="0.2">
      <c r="A39" s="5">
        <v>44424</v>
      </c>
      <c r="B39" s="37">
        <f t="shared" si="0"/>
        <v>0.29375000000000001</v>
      </c>
    </row>
    <row r="40" spans="1:2" hidden="1" outlineLevel="1" x14ac:dyDescent="0.2">
      <c r="A40" s="5">
        <v>44516</v>
      </c>
      <c r="B40" s="37">
        <f t="shared" si="0"/>
        <v>0.29375000000000001</v>
      </c>
    </row>
    <row r="41" spans="1:2" hidden="1" outlineLevel="1" x14ac:dyDescent="0.2">
      <c r="A41" s="5">
        <v>44608</v>
      </c>
      <c r="B41" s="37">
        <f t="shared" si="0"/>
        <v>0.29375000000000001</v>
      </c>
    </row>
    <row r="42" spans="1:2" hidden="1" outlineLevel="1" x14ac:dyDescent="0.2">
      <c r="A42" s="5">
        <v>44697</v>
      </c>
      <c r="B42" s="37">
        <f t="shared" si="0"/>
        <v>0.29375000000000001</v>
      </c>
    </row>
    <row r="43" spans="1:2" hidden="1" outlineLevel="1" x14ac:dyDescent="0.2">
      <c r="A43" s="5">
        <v>44789</v>
      </c>
      <c r="B43" s="37">
        <f t="shared" si="0"/>
        <v>0.29375000000000001</v>
      </c>
    </row>
    <row r="44" spans="1:2" hidden="1" outlineLevel="1" x14ac:dyDescent="0.2">
      <c r="A44" s="5">
        <v>44881</v>
      </c>
      <c r="B44" s="37">
        <f t="shared" si="0"/>
        <v>0.29375000000000001</v>
      </c>
    </row>
    <row r="45" spans="1:2" hidden="1" outlineLevel="1" x14ac:dyDescent="0.2">
      <c r="A45" s="5">
        <v>44973</v>
      </c>
      <c r="B45" s="37">
        <f t="shared" si="0"/>
        <v>0.29375000000000001</v>
      </c>
    </row>
    <row r="46" spans="1:2" hidden="1" outlineLevel="1" x14ac:dyDescent="0.2">
      <c r="A46" s="5">
        <v>45062</v>
      </c>
      <c r="B46" s="37">
        <f t="shared" si="0"/>
        <v>0.29375000000000001</v>
      </c>
    </row>
    <row r="47" spans="1:2" hidden="1" outlineLevel="1" x14ac:dyDescent="0.2">
      <c r="A47" s="5">
        <v>45154</v>
      </c>
      <c r="B47" s="37">
        <f t="shared" si="0"/>
        <v>0.29375000000000001</v>
      </c>
    </row>
    <row r="48" spans="1:2" hidden="1" outlineLevel="1" x14ac:dyDescent="0.2">
      <c r="A48" s="5">
        <v>45246</v>
      </c>
      <c r="B48" s="37">
        <f t="shared" si="0"/>
        <v>0.29375000000000001</v>
      </c>
    </row>
    <row r="49" spans="1:2" hidden="1" outlineLevel="1" x14ac:dyDescent="0.2">
      <c r="A49" s="5">
        <v>45338</v>
      </c>
      <c r="B49" s="37">
        <f t="shared" si="0"/>
        <v>0.29375000000000001</v>
      </c>
    </row>
    <row r="50" spans="1:2" hidden="1" outlineLevel="1" x14ac:dyDescent="0.2">
      <c r="A50" s="5">
        <v>45428</v>
      </c>
      <c r="B50" s="37">
        <f t="shared" si="0"/>
        <v>0.29375000000000001</v>
      </c>
    </row>
    <row r="51" spans="1:2" hidden="1" outlineLevel="1" x14ac:dyDescent="0.2">
      <c r="A51" s="5">
        <v>45520</v>
      </c>
      <c r="B51" s="37">
        <f t="shared" si="0"/>
        <v>0.29375000000000001</v>
      </c>
    </row>
    <row r="52" spans="1:2" hidden="1" outlineLevel="1" x14ac:dyDescent="0.2">
      <c r="A52" s="5">
        <v>45612</v>
      </c>
      <c r="B52" s="37">
        <f t="shared" si="0"/>
        <v>0.29375000000000001</v>
      </c>
    </row>
    <row r="53" spans="1:2" hidden="1" outlineLevel="1" x14ac:dyDescent="0.2">
      <c r="A53" s="5">
        <v>45704</v>
      </c>
      <c r="B53" s="37">
        <f t="shared" si="0"/>
        <v>0.29375000000000001</v>
      </c>
    </row>
    <row r="54" spans="1:2" hidden="1" outlineLevel="1" x14ac:dyDescent="0.2">
      <c r="A54" s="5">
        <v>45793</v>
      </c>
      <c r="B54" s="37">
        <f t="shared" si="0"/>
        <v>0.29375000000000001</v>
      </c>
    </row>
    <row r="55" spans="1:2" hidden="1" outlineLevel="1" x14ac:dyDescent="0.2">
      <c r="A55" s="5">
        <v>45885</v>
      </c>
      <c r="B55" s="37">
        <f t="shared" si="0"/>
        <v>0.29375000000000001</v>
      </c>
    </row>
    <row r="56" spans="1:2" hidden="1" outlineLevel="1" x14ac:dyDescent="0.2">
      <c r="A56" s="5">
        <v>45977</v>
      </c>
      <c r="B56" s="37">
        <f t="shared" si="0"/>
        <v>0.29375000000000001</v>
      </c>
    </row>
    <row r="57" spans="1:2" hidden="1" outlineLevel="1" x14ac:dyDescent="0.2">
      <c r="A57" s="5">
        <v>46069</v>
      </c>
      <c r="B57" s="37">
        <f t="shared" si="0"/>
        <v>0.29375000000000001</v>
      </c>
    </row>
    <row r="58" spans="1:2" hidden="1" outlineLevel="1" x14ac:dyDescent="0.2">
      <c r="A58" s="5">
        <v>46158</v>
      </c>
      <c r="B58" s="37">
        <f t="shared" si="0"/>
        <v>0.29375000000000001</v>
      </c>
    </row>
    <row r="59" spans="1:2" hidden="1" outlineLevel="1" x14ac:dyDescent="0.2">
      <c r="A59" s="5">
        <v>46250</v>
      </c>
      <c r="B59" s="37">
        <f t="shared" si="0"/>
        <v>0.29375000000000001</v>
      </c>
    </row>
    <row r="60" spans="1:2" hidden="1" outlineLevel="1" x14ac:dyDescent="0.2">
      <c r="A60" s="5">
        <v>46342</v>
      </c>
      <c r="B60" s="37">
        <f t="shared" si="0"/>
        <v>0.29375000000000001</v>
      </c>
    </row>
    <row r="61" spans="1:2" hidden="1" outlineLevel="1" x14ac:dyDescent="0.2">
      <c r="A61" s="5">
        <v>46434</v>
      </c>
      <c r="B61" s="37">
        <f t="shared" si="0"/>
        <v>0.29375000000000001</v>
      </c>
    </row>
    <row r="62" spans="1:2" hidden="1" outlineLevel="1" x14ac:dyDescent="0.2">
      <c r="A62" s="5">
        <v>46523</v>
      </c>
      <c r="B62" s="37">
        <f t="shared" si="0"/>
        <v>0.29375000000000001</v>
      </c>
    </row>
    <row r="63" spans="1:2" hidden="1" outlineLevel="1" x14ac:dyDescent="0.2">
      <c r="A63" s="5">
        <v>46615</v>
      </c>
      <c r="B63" s="37">
        <f t="shared" si="0"/>
        <v>0.29375000000000001</v>
      </c>
    </row>
    <row r="64" spans="1:2" hidden="1" outlineLevel="1" x14ac:dyDescent="0.2">
      <c r="A64" s="5">
        <v>46707</v>
      </c>
      <c r="B64" s="37">
        <f t="shared" si="0"/>
        <v>0.29375000000000001</v>
      </c>
    </row>
    <row r="65" spans="1:2" hidden="1" outlineLevel="1" x14ac:dyDescent="0.2">
      <c r="A65" s="5">
        <v>46799</v>
      </c>
      <c r="B65" s="37">
        <f t="shared" si="0"/>
        <v>0.29375000000000001</v>
      </c>
    </row>
    <row r="66" spans="1:2" hidden="1" outlineLevel="1" x14ac:dyDescent="0.2">
      <c r="A66" s="5">
        <v>46889</v>
      </c>
      <c r="B66" s="37">
        <f t="shared" si="0"/>
        <v>0.29375000000000001</v>
      </c>
    </row>
    <row r="67" spans="1:2" hidden="1" outlineLevel="1" x14ac:dyDescent="0.2">
      <c r="A67" s="5">
        <v>46981</v>
      </c>
      <c r="B67" s="37">
        <f t="shared" si="0"/>
        <v>0.29375000000000001</v>
      </c>
    </row>
    <row r="68" spans="1:2" hidden="1" outlineLevel="1" x14ac:dyDescent="0.2">
      <c r="A68" s="5">
        <v>47073</v>
      </c>
      <c r="B68" s="37">
        <f t="shared" si="0"/>
        <v>0.29375000000000001</v>
      </c>
    </row>
    <row r="69" spans="1:2" hidden="1" outlineLevel="1" x14ac:dyDescent="0.2">
      <c r="A69" s="5">
        <v>47165</v>
      </c>
      <c r="B69" s="37">
        <f t="shared" si="0"/>
        <v>0.29375000000000001</v>
      </c>
    </row>
    <row r="70" spans="1:2" hidden="1" outlineLevel="1" x14ac:dyDescent="0.2">
      <c r="A70" s="5">
        <v>47254</v>
      </c>
      <c r="B70" s="37">
        <f t="shared" si="0"/>
        <v>0.29375000000000001</v>
      </c>
    </row>
    <row r="71" spans="1:2" hidden="1" outlineLevel="1" x14ac:dyDescent="0.2">
      <c r="A71" s="5">
        <v>47346</v>
      </c>
      <c r="B71" s="37">
        <f t="shared" si="0"/>
        <v>0.29375000000000001</v>
      </c>
    </row>
    <row r="72" spans="1:2" hidden="1" outlineLevel="1" x14ac:dyDescent="0.2">
      <c r="A72" s="5">
        <v>47438</v>
      </c>
      <c r="B72" s="37">
        <f t="shared" si="0"/>
        <v>0.29375000000000001</v>
      </c>
    </row>
    <row r="73" spans="1:2" hidden="1" outlineLevel="1" x14ac:dyDescent="0.2">
      <c r="A73" s="5">
        <v>47530</v>
      </c>
      <c r="B73" s="37">
        <f t="shared" si="0"/>
        <v>0.29375000000000001</v>
      </c>
    </row>
    <row r="74" spans="1:2" hidden="1" outlineLevel="1" x14ac:dyDescent="0.2">
      <c r="A74" s="5">
        <v>47619</v>
      </c>
      <c r="B74" s="37">
        <f t="shared" si="0"/>
        <v>0.29375000000000001</v>
      </c>
    </row>
    <row r="75" spans="1:2" hidden="1" outlineLevel="1" x14ac:dyDescent="0.2">
      <c r="A75" s="5">
        <v>47711</v>
      </c>
      <c r="B75" s="37">
        <f t="shared" si="0"/>
        <v>0.29375000000000001</v>
      </c>
    </row>
    <row r="76" spans="1:2" hidden="1" outlineLevel="1" x14ac:dyDescent="0.2">
      <c r="A76" s="5">
        <v>47803</v>
      </c>
      <c r="B76" s="37">
        <f t="shared" si="0"/>
        <v>0.29375000000000001</v>
      </c>
    </row>
    <row r="77" spans="1:2" hidden="1" outlineLevel="1" x14ac:dyDescent="0.2">
      <c r="A77" s="5">
        <v>47895</v>
      </c>
      <c r="B77" s="37">
        <f t="shared" ref="B77:B140" si="1">$B$3*$B$2/4</f>
        <v>0.29375000000000001</v>
      </c>
    </row>
    <row r="78" spans="1:2" hidden="1" outlineLevel="1" x14ac:dyDescent="0.2">
      <c r="A78" s="5">
        <v>47984</v>
      </c>
      <c r="B78" s="37">
        <f t="shared" si="1"/>
        <v>0.29375000000000001</v>
      </c>
    </row>
    <row r="79" spans="1:2" hidden="1" outlineLevel="1" x14ac:dyDescent="0.2">
      <c r="A79" s="5">
        <v>48076</v>
      </c>
      <c r="B79" s="37">
        <f t="shared" si="1"/>
        <v>0.29375000000000001</v>
      </c>
    </row>
    <row r="80" spans="1:2" hidden="1" outlineLevel="1" x14ac:dyDescent="0.2">
      <c r="A80" s="5">
        <v>48168</v>
      </c>
      <c r="B80" s="37">
        <f t="shared" si="1"/>
        <v>0.29375000000000001</v>
      </c>
    </row>
    <row r="81" spans="1:2" hidden="1" outlineLevel="1" x14ac:dyDescent="0.2">
      <c r="A81" s="5">
        <v>48260</v>
      </c>
      <c r="B81" s="37">
        <f t="shared" si="1"/>
        <v>0.29375000000000001</v>
      </c>
    </row>
    <row r="82" spans="1:2" hidden="1" outlineLevel="1" x14ac:dyDescent="0.2">
      <c r="A82" s="5">
        <v>48350</v>
      </c>
      <c r="B82" s="37">
        <f t="shared" si="1"/>
        <v>0.29375000000000001</v>
      </c>
    </row>
    <row r="83" spans="1:2" hidden="1" outlineLevel="1" x14ac:dyDescent="0.2">
      <c r="A83" s="5">
        <v>48442</v>
      </c>
      <c r="B83" s="37">
        <f t="shared" si="1"/>
        <v>0.29375000000000001</v>
      </c>
    </row>
    <row r="84" spans="1:2" hidden="1" outlineLevel="1" x14ac:dyDescent="0.2">
      <c r="A84" s="5">
        <v>48534</v>
      </c>
      <c r="B84" s="37">
        <f t="shared" si="1"/>
        <v>0.29375000000000001</v>
      </c>
    </row>
    <row r="85" spans="1:2" hidden="1" outlineLevel="1" x14ac:dyDescent="0.2">
      <c r="A85" s="5">
        <v>48626</v>
      </c>
      <c r="B85" s="37">
        <f t="shared" si="1"/>
        <v>0.29375000000000001</v>
      </c>
    </row>
    <row r="86" spans="1:2" hidden="1" outlineLevel="1" x14ac:dyDescent="0.2">
      <c r="A86" s="5">
        <v>48715</v>
      </c>
      <c r="B86" s="37">
        <f t="shared" si="1"/>
        <v>0.29375000000000001</v>
      </c>
    </row>
    <row r="87" spans="1:2" hidden="1" outlineLevel="1" x14ac:dyDescent="0.2">
      <c r="A87" s="5">
        <v>48807</v>
      </c>
      <c r="B87" s="37">
        <f t="shared" si="1"/>
        <v>0.29375000000000001</v>
      </c>
    </row>
    <row r="88" spans="1:2" hidden="1" outlineLevel="1" x14ac:dyDescent="0.2">
      <c r="A88" s="5">
        <v>48899</v>
      </c>
      <c r="B88" s="37">
        <f t="shared" si="1"/>
        <v>0.29375000000000001</v>
      </c>
    </row>
    <row r="89" spans="1:2" hidden="1" outlineLevel="1" x14ac:dyDescent="0.2">
      <c r="A89" s="5">
        <v>48991</v>
      </c>
      <c r="B89" s="37">
        <f t="shared" si="1"/>
        <v>0.29375000000000001</v>
      </c>
    </row>
    <row r="90" spans="1:2" hidden="1" outlineLevel="1" x14ac:dyDescent="0.2">
      <c r="A90" s="5">
        <v>49080</v>
      </c>
      <c r="B90" s="37">
        <f t="shared" si="1"/>
        <v>0.29375000000000001</v>
      </c>
    </row>
    <row r="91" spans="1:2" hidden="1" outlineLevel="1" x14ac:dyDescent="0.2">
      <c r="A91" s="5">
        <v>49172</v>
      </c>
      <c r="B91" s="37">
        <f t="shared" si="1"/>
        <v>0.29375000000000001</v>
      </c>
    </row>
    <row r="92" spans="1:2" hidden="1" outlineLevel="1" x14ac:dyDescent="0.2">
      <c r="A92" s="5">
        <v>49264</v>
      </c>
      <c r="B92" s="37">
        <f t="shared" si="1"/>
        <v>0.29375000000000001</v>
      </c>
    </row>
    <row r="93" spans="1:2" hidden="1" outlineLevel="1" x14ac:dyDescent="0.2">
      <c r="A93" s="5">
        <v>49356</v>
      </c>
      <c r="B93" s="37">
        <f t="shared" si="1"/>
        <v>0.29375000000000001</v>
      </c>
    </row>
    <row r="94" spans="1:2" hidden="1" outlineLevel="1" x14ac:dyDescent="0.2">
      <c r="A94" s="5">
        <v>49445</v>
      </c>
      <c r="B94" s="37">
        <f t="shared" si="1"/>
        <v>0.29375000000000001</v>
      </c>
    </row>
    <row r="95" spans="1:2" hidden="1" outlineLevel="1" x14ac:dyDescent="0.2">
      <c r="A95" s="5">
        <v>49537</v>
      </c>
      <c r="B95" s="37">
        <f t="shared" si="1"/>
        <v>0.29375000000000001</v>
      </c>
    </row>
    <row r="96" spans="1:2" hidden="1" outlineLevel="1" x14ac:dyDescent="0.2">
      <c r="A96" s="5">
        <v>49629</v>
      </c>
      <c r="B96" s="37">
        <f t="shared" si="1"/>
        <v>0.29375000000000001</v>
      </c>
    </row>
    <row r="97" spans="1:2" hidden="1" outlineLevel="1" x14ac:dyDescent="0.2">
      <c r="A97" s="5">
        <v>49721</v>
      </c>
      <c r="B97" s="37">
        <f t="shared" si="1"/>
        <v>0.29375000000000001</v>
      </c>
    </row>
    <row r="98" spans="1:2" hidden="1" outlineLevel="1" x14ac:dyDescent="0.2">
      <c r="A98" s="5">
        <v>49811</v>
      </c>
      <c r="B98" s="37">
        <f t="shared" si="1"/>
        <v>0.29375000000000001</v>
      </c>
    </row>
    <row r="99" spans="1:2" hidden="1" outlineLevel="1" x14ac:dyDescent="0.2">
      <c r="A99" s="5">
        <v>49903</v>
      </c>
      <c r="B99" s="37">
        <f t="shared" si="1"/>
        <v>0.29375000000000001</v>
      </c>
    </row>
    <row r="100" spans="1:2" hidden="1" outlineLevel="1" x14ac:dyDescent="0.2">
      <c r="A100" s="5">
        <v>49995</v>
      </c>
      <c r="B100" s="37">
        <f t="shared" si="1"/>
        <v>0.29375000000000001</v>
      </c>
    </row>
    <row r="101" spans="1:2" hidden="1" outlineLevel="1" x14ac:dyDescent="0.2">
      <c r="A101" s="5">
        <v>50087</v>
      </c>
      <c r="B101" s="37">
        <f t="shared" si="1"/>
        <v>0.29375000000000001</v>
      </c>
    </row>
    <row r="102" spans="1:2" hidden="1" outlineLevel="1" x14ac:dyDescent="0.2">
      <c r="A102" s="5">
        <v>50176</v>
      </c>
      <c r="B102" s="37">
        <f t="shared" si="1"/>
        <v>0.29375000000000001</v>
      </c>
    </row>
    <row r="103" spans="1:2" hidden="1" outlineLevel="1" x14ac:dyDescent="0.2">
      <c r="A103" s="5">
        <v>50268</v>
      </c>
      <c r="B103" s="37">
        <f t="shared" si="1"/>
        <v>0.29375000000000001</v>
      </c>
    </row>
    <row r="104" spans="1:2" hidden="1" outlineLevel="1" x14ac:dyDescent="0.2">
      <c r="A104" s="5">
        <v>50360</v>
      </c>
      <c r="B104" s="37">
        <f t="shared" si="1"/>
        <v>0.29375000000000001</v>
      </c>
    </row>
    <row r="105" spans="1:2" hidden="1" outlineLevel="1" x14ac:dyDescent="0.2">
      <c r="A105" s="5">
        <v>50452</v>
      </c>
      <c r="B105" s="37">
        <f t="shared" si="1"/>
        <v>0.29375000000000001</v>
      </c>
    </row>
    <row r="106" spans="1:2" hidden="1" outlineLevel="1" x14ac:dyDescent="0.2">
      <c r="A106" s="5">
        <v>50541</v>
      </c>
      <c r="B106" s="37">
        <f t="shared" si="1"/>
        <v>0.29375000000000001</v>
      </c>
    </row>
    <row r="107" spans="1:2" hidden="1" outlineLevel="1" x14ac:dyDescent="0.2">
      <c r="A107" s="5">
        <v>50633</v>
      </c>
      <c r="B107" s="37">
        <f t="shared" si="1"/>
        <v>0.29375000000000001</v>
      </c>
    </row>
    <row r="108" spans="1:2" hidden="1" outlineLevel="1" x14ac:dyDescent="0.2">
      <c r="A108" s="5">
        <v>50725</v>
      </c>
      <c r="B108" s="37">
        <f t="shared" si="1"/>
        <v>0.29375000000000001</v>
      </c>
    </row>
    <row r="109" spans="1:2" hidden="1" outlineLevel="1" x14ac:dyDescent="0.2">
      <c r="A109" s="5">
        <v>50817</v>
      </c>
      <c r="B109" s="37">
        <f t="shared" si="1"/>
        <v>0.29375000000000001</v>
      </c>
    </row>
    <row r="110" spans="1:2" hidden="1" outlineLevel="1" x14ac:dyDescent="0.2">
      <c r="A110" s="5">
        <v>50906</v>
      </c>
      <c r="B110" s="37">
        <f t="shared" si="1"/>
        <v>0.29375000000000001</v>
      </c>
    </row>
    <row r="111" spans="1:2" hidden="1" outlineLevel="1" x14ac:dyDescent="0.2">
      <c r="A111" s="5">
        <v>50998</v>
      </c>
      <c r="B111" s="37">
        <f t="shared" si="1"/>
        <v>0.29375000000000001</v>
      </c>
    </row>
    <row r="112" spans="1:2" hidden="1" outlineLevel="1" x14ac:dyDescent="0.2">
      <c r="A112" s="5">
        <v>51090</v>
      </c>
      <c r="B112" s="37">
        <f t="shared" si="1"/>
        <v>0.29375000000000001</v>
      </c>
    </row>
    <row r="113" spans="1:2" s="84" customFormat="1" hidden="1" outlineLevel="1" x14ac:dyDescent="0.2">
      <c r="A113" s="5">
        <v>51182</v>
      </c>
      <c r="B113" s="37">
        <f t="shared" si="1"/>
        <v>0.29375000000000001</v>
      </c>
    </row>
    <row r="114" spans="1:2" s="84" customFormat="1" hidden="1" outlineLevel="1" x14ac:dyDescent="0.2">
      <c r="A114" s="5">
        <v>51272</v>
      </c>
      <c r="B114" s="37">
        <f t="shared" si="1"/>
        <v>0.29375000000000001</v>
      </c>
    </row>
    <row r="115" spans="1:2" s="84" customFormat="1" hidden="1" outlineLevel="1" x14ac:dyDescent="0.2">
      <c r="A115" s="5">
        <v>51364</v>
      </c>
      <c r="B115" s="37">
        <f t="shared" si="1"/>
        <v>0.29375000000000001</v>
      </c>
    </row>
    <row r="116" spans="1:2" s="84" customFormat="1" hidden="1" outlineLevel="1" x14ac:dyDescent="0.2">
      <c r="A116" s="5">
        <v>51456</v>
      </c>
      <c r="B116" s="37">
        <f t="shared" si="1"/>
        <v>0.29375000000000001</v>
      </c>
    </row>
    <row r="117" spans="1:2" s="84" customFormat="1" hidden="1" outlineLevel="1" x14ac:dyDescent="0.2">
      <c r="A117" s="5">
        <v>51548</v>
      </c>
      <c r="B117" s="37">
        <f t="shared" si="1"/>
        <v>0.29375000000000001</v>
      </c>
    </row>
    <row r="118" spans="1:2" s="84" customFormat="1" hidden="1" outlineLevel="1" x14ac:dyDescent="0.2">
      <c r="A118" s="5">
        <v>51637</v>
      </c>
      <c r="B118" s="37">
        <f t="shared" si="1"/>
        <v>0.29375000000000001</v>
      </c>
    </row>
    <row r="119" spans="1:2" s="84" customFormat="1" hidden="1" outlineLevel="1" x14ac:dyDescent="0.2">
      <c r="A119" s="5">
        <v>51729</v>
      </c>
      <c r="B119" s="37">
        <f t="shared" si="1"/>
        <v>0.29375000000000001</v>
      </c>
    </row>
    <row r="120" spans="1:2" s="84" customFormat="1" hidden="1" outlineLevel="1" x14ac:dyDescent="0.2">
      <c r="A120" s="5">
        <v>51821</v>
      </c>
      <c r="B120" s="37">
        <f t="shared" si="1"/>
        <v>0.29375000000000001</v>
      </c>
    </row>
    <row r="121" spans="1:2" s="84" customFormat="1" hidden="1" outlineLevel="1" x14ac:dyDescent="0.2">
      <c r="A121" s="5">
        <v>51913</v>
      </c>
      <c r="B121" s="37">
        <f t="shared" si="1"/>
        <v>0.29375000000000001</v>
      </c>
    </row>
    <row r="122" spans="1:2" s="84" customFormat="1" hidden="1" outlineLevel="1" x14ac:dyDescent="0.2">
      <c r="A122" s="5">
        <v>52002</v>
      </c>
      <c r="B122" s="37">
        <f t="shared" si="1"/>
        <v>0.29375000000000001</v>
      </c>
    </row>
    <row r="123" spans="1:2" s="84" customFormat="1" hidden="1" outlineLevel="1" x14ac:dyDescent="0.2">
      <c r="A123" s="5">
        <v>52094</v>
      </c>
      <c r="B123" s="37">
        <f t="shared" si="1"/>
        <v>0.29375000000000001</v>
      </c>
    </row>
    <row r="124" spans="1:2" s="84" customFormat="1" hidden="1" outlineLevel="1" x14ac:dyDescent="0.2">
      <c r="A124" s="5">
        <v>52186</v>
      </c>
      <c r="B124" s="37">
        <f t="shared" si="1"/>
        <v>0.29375000000000001</v>
      </c>
    </row>
    <row r="125" spans="1:2" s="84" customFormat="1" hidden="1" outlineLevel="1" x14ac:dyDescent="0.2">
      <c r="A125" s="5">
        <v>52278</v>
      </c>
      <c r="B125" s="37">
        <f t="shared" si="1"/>
        <v>0.29375000000000001</v>
      </c>
    </row>
    <row r="126" spans="1:2" s="84" customFormat="1" hidden="1" outlineLevel="1" x14ac:dyDescent="0.2">
      <c r="A126" s="5">
        <v>52367</v>
      </c>
      <c r="B126" s="37">
        <f t="shared" si="1"/>
        <v>0.29375000000000001</v>
      </c>
    </row>
    <row r="127" spans="1:2" s="84" customFormat="1" hidden="1" outlineLevel="1" x14ac:dyDescent="0.2">
      <c r="A127" s="5">
        <v>52459</v>
      </c>
      <c r="B127" s="37">
        <f t="shared" si="1"/>
        <v>0.29375000000000001</v>
      </c>
    </row>
    <row r="128" spans="1:2" s="84" customFormat="1" hidden="1" outlineLevel="1" x14ac:dyDescent="0.2">
      <c r="A128" s="5">
        <v>52551</v>
      </c>
      <c r="B128" s="37">
        <f t="shared" si="1"/>
        <v>0.29375000000000001</v>
      </c>
    </row>
    <row r="129" spans="1:2" s="84" customFormat="1" hidden="1" outlineLevel="1" x14ac:dyDescent="0.2">
      <c r="A129" s="5">
        <v>52643</v>
      </c>
      <c r="B129" s="37">
        <f t="shared" si="1"/>
        <v>0.29375000000000001</v>
      </c>
    </row>
    <row r="130" spans="1:2" s="84" customFormat="1" hidden="1" outlineLevel="1" x14ac:dyDescent="0.2">
      <c r="A130" s="5">
        <v>52733</v>
      </c>
      <c r="B130" s="37">
        <f t="shared" si="1"/>
        <v>0.29375000000000001</v>
      </c>
    </row>
    <row r="131" spans="1:2" s="84" customFormat="1" hidden="1" outlineLevel="1" x14ac:dyDescent="0.2">
      <c r="A131" s="5">
        <v>52825</v>
      </c>
      <c r="B131" s="37">
        <f t="shared" si="1"/>
        <v>0.29375000000000001</v>
      </c>
    </row>
    <row r="132" spans="1:2" s="84" customFormat="1" hidden="1" outlineLevel="1" x14ac:dyDescent="0.2">
      <c r="A132" s="5">
        <v>52917</v>
      </c>
      <c r="B132" s="37">
        <f t="shared" si="1"/>
        <v>0.29375000000000001</v>
      </c>
    </row>
    <row r="133" spans="1:2" s="84" customFormat="1" hidden="1" outlineLevel="1" x14ac:dyDescent="0.2">
      <c r="A133" s="5">
        <v>53009</v>
      </c>
      <c r="B133" s="37">
        <f t="shared" si="1"/>
        <v>0.29375000000000001</v>
      </c>
    </row>
    <row r="134" spans="1:2" s="84" customFormat="1" hidden="1" outlineLevel="1" x14ac:dyDescent="0.2">
      <c r="A134" s="5">
        <v>53098</v>
      </c>
      <c r="B134" s="37">
        <f t="shared" si="1"/>
        <v>0.29375000000000001</v>
      </c>
    </row>
    <row r="135" spans="1:2" s="84" customFormat="1" hidden="1" outlineLevel="1" x14ac:dyDescent="0.2">
      <c r="A135" s="5">
        <v>53190</v>
      </c>
      <c r="B135" s="37">
        <f t="shared" si="1"/>
        <v>0.29375000000000001</v>
      </c>
    </row>
    <row r="136" spans="1:2" s="84" customFormat="1" hidden="1" outlineLevel="1" x14ac:dyDescent="0.2">
      <c r="A136" s="5">
        <v>53282</v>
      </c>
      <c r="B136" s="37">
        <f t="shared" si="1"/>
        <v>0.29375000000000001</v>
      </c>
    </row>
    <row r="137" spans="1:2" s="84" customFormat="1" hidden="1" outlineLevel="1" x14ac:dyDescent="0.2">
      <c r="A137" s="5">
        <v>53374</v>
      </c>
      <c r="B137" s="37">
        <f t="shared" si="1"/>
        <v>0.29375000000000001</v>
      </c>
    </row>
    <row r="138" spans="1:2" s="84" customFormat="1" hidden="1" outlineLevel="1" x14ac:dyDescent="0.2">
      <c r="A138" s="5">
        <v>53463</v>
      </c>
      <c r="B138" s="37">
        <f t="shared" si="1"/>
        <v>0.29375000000000001</v>
      </c>
    </row>
    <row r="139" spans="1:2" s="84" customFormat="1" hidden="1" outlineLevel="1" x14ac:dyDescent="0.2">
      <c r="A139" s="5">
        <v>53555</v>
      </c>
      <c r="B139" s="37">
        <f t="shared" si="1"/>
        <v>0.29375000000000001</v>
      </c>
    </row>
    <row r="140" spans="1:2" s="84" customFormat="1" hidden="1" outlineLevel="1" x14ac:dyDescent="0.2">
      <c r="A140" s="5">
        <v>53647</v>
      </c>
      <c r="B140" s="37">
        <f t="shared" si="1"/>
        <v>0.29375000000000001</v>
      </c>
    </row>
    <row r="141" spans="1:2" s="84" customFormat="1" hidden="1" outlineLevel="1" x14ac:dyDescent="0.2">
      <c r="A141" s="5">
        <v>53739</v>
      </c>
      <c r="B141" s="37">
        <f t="shared" ref="B141:B165" si="2">$B$3*$B$2/4</f>
        <v>0.29375000000000001</v>
      </c>
    </row>
    <row r="142" spans="1:2" s="84" customFormat="1" hidden="1" outlineLevel="1" x14ac:dyDescent="0.2">
      <c r="A142" s="5">
        <v>53828</v>
      </c>
      <c r="B142" s="37">
        <f t="shared" si="2"/>
        <v>0.29375000000000001</v>
      </c>
    </row>
    <row r="143" spans="1:2" s="84" customFormat="1" hidden="1" outlineLevel="1" x14ac:dyDescent="0.2">
      <c r="A143" s="5">
        <v>53920</v>
      </c>
      <c r="B143" s="37">
        <f t="shared" si="2"/>
        <v>0.29375000000000001</v>
      </c>
    </row>
    <row r="144" spans="1:2" s="84" customFormat="1" hidden="1" outlineLevel="1" x14ac:dyDescent="0.2">
      <c r="A144" s="5">
        <v>54012</v>
      </c>
      <c r="B144" s="37">
        <f t="shared" si="2"/>
        <v>0.29375000000000001</v>
      </c>
    </row>
    <row r="145" spans="1:2" s="84" customFormat="1" hidden="1" outlineLevel="1" x14ac:dyDescent="0.2">
      <c r="A145" s="5">
        <v>54104</v>
      </c>
      <c r="B145" s="37">
        <f t="shared" si="2"/>
        <v>0.29375000000000001</v>
      </c>
    </row>
    <row r="146" spans="1:2" s="84" customFormat="1" hidden="1" outlineLevel="1" x14ac:dyDescent="0.2">
      <c r="A146" s="5">
        <v>54194</v>
      </c>
      <c r="B146" s="37">
        <f t="shared" si="2"/>
        <v>0.29375000000000001</v>
      </c>
    </row>
    <row r="147" spans="1:2" s="84" customFormat="1" hidden="1" outlineLevel="1" x14ac:dyDescent="0.2">
      <c r="A147" s="5">
        <v>54286</v>
      </c>
      <c r="B147" s="37">
        <f t="shared" si="2"/>
        <v>0.29375000000000001</v>
      </c>
    </row>
    <row r="148" spans="1:2" s="84" customFormat="1" hidden="1" outlineLevel="1" x14ac:dyDescent="0.2">
      <c r="A148" s="5">
        <v>54378</v>
      </c>
      <c r="B148" s="37">
        <f t="shared" si="2"/>
        <v>0.29375000000000001</v>
      </c>
    </row>
    <row r="149" spans="1:2" s="84" customFormat="1" hidden="1" outlineLevel="1" x14ac:dyDescent="0.2">
      <c r="A149" s="5">
        <v>54470</v>
      </c>
      <c r="B149" s="37">
        <f t="shared" si="2"/>
        <v>0.29375000000000001</v>
      </c>
    </row>
    <row r="150" spans="1:2" s="84" customFormat="1" hidden="1" outlineLevel="1" x14ac:dyDescent="0.2">
      <c r="A150" s="5">
        <v>54559</v>
      </c>
      <c r="B150" s="37">
        <f t="shared" si="2"/>
        <v>0.29375000000000001</v>
      </c>
    </row>
    <row r="151" spans="1:2" s="84" customFormat="1" hidden="1" outlineLevel="1" x14ac:dyDescent="0.2">
      <c r="A151" s="5">
        <v>54651</v>
      </c>
      <c r="B151" s="37">
        <f t="shared" si="2"/>
        <v>0.29375000000000001</v>
      </c>
    </row>
    <row r="152" spans="1:2" s="84" customFormat="1" hidden="1" outlineLevel="1" x14ac:dyDescent="0.2">
      <c r="A152" s="5">
        <v>54743</v>
      </c>
      <c r="B152" s="37">
        <f t="shared" si="2"/>
        <v>0.29375000000000001</v>
      </c>
    </row>
    <row r="153" spans="1:2" s="84" customFormat="1" hidden="1" outlineLevel="1" x14ac:dyDescent="0.2">
      <c r="A153" s="5">
        <v>54835</v>
      </c>
      <c r="B153" s="37">
        <f t="shared" si="2"/>
        <v>0.29375000000000001</v>
      </c>
    </row>
    <row r="154" spans="1:2" s="84" customFormat="1" hidden="1" outlineLevel="1" x14ac:dyDescent="0.2">
      <c r="A154" s="5">
        <v>54924</v>
      </c>
      <c r="B154" s="37">
        <f t="shared" si="2"/>
        <v>0.29375000000000001</v>
      </c>
    </row>
    <row r="155" spans="1:2" s="84" customFormat="1" hidden="1" outlineLevel="1" x14ac:dyDescent="0.2">
      <c r="A155" s="5">
        <v>55016</v>
      </c>
      <c r="B155" s="37">
        <f t="shared" si="2"/>
        <v>0.29375000000000001</v>
      </c>
    </row>
    <row r="156" spans="1:2" s="84" customFormat="1" hidden="1" outlineLevel="1" x14ac:dyDescent="0.2">
      <c r="A156" s="5">
        <v>55108</v>
      </c>
      <c r="B156" s="37">
        <f t="shared" si="2"/>
        <v>0.29375000000000001</v>
      </c>
    </row>
    <row r="157" spans="1:2" s="84" customFormat="1" hidden="1" outlineLevel="1" collapsed="1" x14ac:dyDescent="0.2">
      <c r="A157" s="5">
        <v>55200</v>
      </c>
      <c r="B157" s="37">
        <f t="shared" si="2"/>
        <v>0.29375000000000001</v>
      </c>
    </row>
    <row r="158" spans="1:2" s="84" customFormat="1" hidden="1" outlineLevel="1" x14ac:dyDescent="0.2">
      <c r="A158" s="5">
        <v>55289</v>
      </c>
      <c r="B158" s="37">
        <f t="shared" si="2"/>
        <v>0.29375000000000001</v>
      </c>
    </row>
    <row r="159" spans="1:2" s="84" customFormat="1" hidden="1" outlineLevel="1" x14ac:dyDescent="0.2">
      <c r="A159" s="5">
        <v>55381</v>
      </c>
      <c r="B159" s="37">
        <f t="shared" si="2"/>
        <v>0.29375000000000001</v>
      </c>
    </row>
    <row r="160" spans="1:2" s="84" customFormat="1" hidden="1" outlineLevel="1" x14ac:dyDescent="0.2">
      <c r="A160" s="5">
        <v>55473</v>
      </c>
      <c r="B160" s="37">
        <f t="shared" si="2"/>
        <v>0.29375000000000001</v>
      </c>
    </row>
    <row r="161" spans="1:3" s="84" customFormat="1" collapsed="1" x14ac:dyDescent="0.2">
      <c r="A161" s="5">
        <v>55565</v>
      </c>
      <c r="B161" s="37">
        <f t="shared" si="2"/>
        <v>0.29375000000000001</v>
      </c>
    </row>
    <row r="162" spans="1:3" s="84" customFormat="1" x14ac:dyDescent="0.2">
      <c r="A162" s="5">
        <v>55655</v>
      </c>
      <c r="B162" s="37">
        <f t="shared" si="2"/>
        <v>0.29375000000000001</v>
      </c>
    </row>
    <row r="163" spans="1:3" s="84" customFormat="1" x14ac:dyDescent="0.2">
      <c r="A163" s="5">
        <v>55747</v>
      </c>
      <c r="B163" s="37">
        <f t="shared" si="2"/>
        <v>0.29375000000000001</v>
      </c>
    </row>
    <row r="164" spans="1:3" s="84" customFormat="1" x14ac:dyDescent="0.2">
      <c r="A164" s="5">
        <v>55839</v>
      </c>
      <c r="B164" s="37">
        <f t="shared" si="2"/>
        <v>0.29375000000000001</v>
      </c>
    </row>
    <row r="165" spans="1:3" s="84" customFormat="1" x14ac:dyDescent="0.2">
      <c r="A165" s="5">
        <v>55931</v>
      </c>
      <c r="B165" s="37">
        <f t="shared" si="2"/>
        <v>0.29375000000000001</v>
      </c>
    </row>
    <row r="166" spans="1:3" x14ac:dyDescent="0.2">
      <c r="A166" s="5">
        <v>56020</v>
      </c>
      <c r="B166" s="37">
        <f>$B$3*$B$2/4+B2</f>
        <v>25.293749999999999</v>
      </c>
      <c r="C166" t="e">
        <f ca="1">getformula(B166)</f>
        <v>#NAME?</v>
      </c>
    </row>
    <row r="168" spans="1:3" x14ac:dyDescent="0.2">
      <c r="A168" s="38" t="s">
        <v>73</v>
      </c>
      <c r="B168" s="24">
        <f>XIRR(B11:B166,A11:A166)</f>
        <v>5.2688798308372489E-2</v>
      </c>
      <c r="C168" t="e">
        <f ca="1">"&lt;-- "&amp;_xlfn.FORMULATEXT(B168)</f>
        <v>#NAME?</v>
      </c>
    </row>
    <row r="169" spans="1:3" s="84" customFormat="1" x14ac:dyDescent="0.2">
      <c r="A169" s="38" t="s">
        <v>307</v>
      </c>
      <c r="B169" s="24">
        <f>IRR(B11:B166,3%)</f>
        <v>1.2815647997674429E-2</v>
      </c>
      <c r="C169" s="84" t="e">
        <f ca="1">"&lt;-- "&amp;_xlfn.FORMULATEXT(B169)</f>
        <v>#NAME?</v>
      </c>
    </row>
    <row r="170" spans="1:3" x14ac:dyDescent="0.2">
      <c r="A170" s="38" t="s">
        <v>82</v>
      </c>
      <c r="B170" s="24">
        <f>(1+B169)^4-1</f>
        <v>5.2256483378191776E-2</v>
      </c>
      <c r="C170" t="e">
        <f ca="1">"&lt;-- "&amp;_xlfn.FORMULATEXT(B170)</f>
        <v>#NAME?</v>
      </c>
    </row>
    <row r="171" spans="1:3" x14ac:dyDescent="0.2">
      <c r="A171" s="38"/>
      <c r="B171" s="24"/>
    </row>
    <row r="172" spans="1:3" x14ac:dyDescent="0.2">
      <c r="A172" s="38" t="s">
        <v>74</v>
      </c>
      <c r="B172" s="24">
        <f>YIELD(B5,B4,B3,B7*4,B2*4,4,3)</f>
        <v>5.126708420788316E-2</v>
      </c>
      <c r="C172" t="e">
        <f ca="1">"&lt;-- "&amp;_xlfn.FORMULATEXT(B172)</f>
        <v>#NAME?</v>
      </c>
    </row>
    <row r="173" spans="1:3" x14ac:dyDescent="0.2">
      <c r="A173" s="27" t="s">
        <v>79</v>
      </c>
      <c r="B173" s="24">
        <f>4*B169</f>
        <v>5.1262591990697715E-2</v>
      </c>
      <c r="C173" t="e">
        <f ca="1">"&lt;-- "&amp;_xlfn.FORMULATEXT(B173)</f>
        <v>#NAME?</v>
      </c>
    </row>
  </sheetData>
  <mergeCells count="2">
    <mergeCell ref="A1:C1"/>
    <mergeCell ref="A9:C9"/>
  </mergeCells>
  <phoneticPr fontId="6" type="noConversion"/>
  <printOptions headings="1" gridLines="1"/>
  <pageMargins left="0.75" right="0.75" top="1" bottom="1" header="0.5" footer="0.5"/>
  <pageSetup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C29"/>
  <sheetViews>
    <sheetView zoomScaleNormal="100" workbookViewId="0">
      <selection activeCell="B7" sqref="B7"/>
    </sheetView>
  </sheetViews>
  <sheetFormatPr defaultRowHeight="12.75" x14ac:dyDescent="0.2"/>
  <cols>
    <col min="1" max="1" width="28.85546875" customWidth="1"/>
    <col min="2" max="2" width="10.7109375" customWidth="1"/>
    <col min="3" max="3" width="32.42578125" bestFit="1" customWidth="1"/>
    <col min="4" max="4" width="28.85546875" customWidth="1"/>
    <col min="5" max="5" width="10.7109375" customWidth="1"/>
    <col min="6" max="6" width="35.140625" bestFit="1" customWidth="1"/>
  </cols>
  <sheetData>
    <row r="1" spans="1:3" ht="19.899999999999999" customHeight="1" x14ac:dyDescent="0.2">
      <c r="A1" s="261" t="s">
        <v>78</v>
      </c>
      <c r="B1" s="261"/>
      <c r="C1" s="261"/>
    </row>
    <row r="2" spans="1:3" x14ac:dyDescent="0.2">
      <c r="A2" t="s">
        <v>7</v>
      </c>
      <c r="B2" s="50">
        <f>'Page 480'!B2</f>
        <v>25</v>
      </c>
    </row>
    <row r="3" spans="1:3" x14ac:dyDescent="0.2">
      <c r="A3" t="s">
        <v>11</v>
      </c>
      <c r="B3" s="131">
        <f>'Page 480'!B3</f>
        <v>4.7E-2</v>
      </c>
    </row>
    <row r="4" spans="1:3" x14ac:dyDescent="0.2">
      <c r="A4" t="s">
        <v>12</v>
      </c>
      <c r="B4" s="1">
        <f>'Page 480'!B4</f>
        <v>56020</v>
      </c>
    </row>
    <row r="5" spans="1:3" x14ac:dyDescent="0.2">
      <c r="A5" t="s">
        <v>31</v>
      </c>
      <c r="B5" s="1">
        <f>'Page 480'!B5</f>
        <v>41922</v>
      </c>
      <c r="C5" t="s">
        <v>80</v>
      </c>
    </row>
    <row r="6" spans="1:3" x14ac:dyDescent="0.2">
      <c r="A6" t="s">
        <v>71</v>
      </c>
      <c r="B6" s="1">
        <f>'Page 480'!B6</f>
        <v>43236</v>
      </c>
      <c r="C6" s="36"/>
    </row>
    <row r="7" spans="1:3" x14ac:dyDescent="0.2">
      <c r="A7" t="s">
        <v>81</v>
      </c>
      <c r="B7" s="51">
        <f>'Page 480'!B7</f>
        <v>23.21</v>
      </c>
    </row>
    <row r="9" spans="1:3" ht="15.75" x14ac:dyDescent="0.25">
      <c r="A9" s="265" t="s">
        <v>72</v>
      </c>
      <c r="B9" s="265"/>
      <c r="C9" s="265"/>
    </row>
    <row r="10" spans="1:3" x14ac:dyDescent="0.2">
      <c r="A10" s="3" t="s">
        <v>14</v>
      </c>
      <c r="B10" s="3" t="s">
        <v>15</v>
      </c>
    </row>
    <row r="11" spans="1:3" x14ac:dyDescent="0.2">
      <c r="A11" s="5">
        <f>B5</f>
        <v>41922</v>
      </c>
      <c r="B11" s="132">
        <f>-B7</f>
        <v>-23.21</v>
      </c>
      <c r="C11" t="e">
        <f ca="1">"&lt;-- "&amp;_xlfn.FORMULATEXT(B11)</f>
        <v>#NAME?</v>
      </c>
    </row>
    <row r="12" spans="1:3" x14ac:dyDescent="0.2">
      <c r="A12" s="5">
        <v>41959</v>
      </c>
      <c r="B12" s="52">
        <f t="shared" ref="B12:B25" si="0">$B$3*$B$2/4</f>
        <v>0.29375000000000001</v>
      </c>
      <c r="C12" t="e">
        <f ca="1">"&lt;-- "&amp;_xlfn.FORMULATEXT(B12)</f>
        <v>#NAME?</v>
      </c>
    </row>
    <row r="13" spans="1:3" x14ac:dyDescent="0.2">
      <c r="A13" s="5">
        <v>42051</v>
      </c>
      <c r="B13" s="52">
        <f t="shared" si="0"/>
        <v>0.29375000000000001</v>
      </c>
      <c r="C13" t="e">
        <f ca="1">"&lt;-- "&amp;_xlfn.FORMULATEXT(B13)</f>
        <v>#NAME?</v>
      </c>
    </row>
    <row r="14" spans="1:3" x14ac:dyDescent="0.2">
      <c r="A14" s="5">
        <v>42140</v>
      </c>
      <c r="B14" s="52">
        <f t="shared" si="0"/>
        <v>0.29375000000000001</v>
      </c>
    </row>
    <row r="15" spans="1:3" x14ac:dyDescent="0.2">
      <c r="A15" s="5">
        <v>42232</v>
      </c>
      <c r="B15" s="52">
        <f t="shared" si="0"/>
        <v>0.29375000000000001</v>
      </c>
    </row>
    <row r="16" spans="1:3" x14ac:dyDescent="0.2">
      <c r="A16" s="5">
        <v>42324</v>
      </c>
      <c r="B16" s="52">
        <f t="shared" si="0"/>
        <v>0.29375000000000001</v>
      </c>
    </row>
    <row r="17" spans="1:3" x14ac:dyDescent="0.2">
      <c r="A17" s="5">
        <v>42416</v>
      </c>
      <c r="B17" s="52">
        <f t="shared" si="0"/>
        <v>0.29375000000000001</v>
      </c>
    </row>
    <row r="18" spans="1:3" x14ac:dyDescent="0.2">
      <c r="A18" s="5">
        <v>42506</v>
      </c>
      <c r="B18" s="52">
        <f t="shared" si="0"/>
        <v>0.29375000000000001</v>
      </c>
    </row>
    <row r="19" spans="1:3" x14ac:dyDescent="0.2">
      <c r="A19" s="5">
        <v>42598</v>
      </c>
      <c r="B19" s="52">
        <f t="shared" si="0"/>
        <v>0.29375000000000001</v>
      </c>
    </row>
    <row r="20" spans="1:3" x14ac:dyDescent="0.2">
      <c r="A20" s="5">
        <v>42690</v>
      </c>
      <c r="B20" s="52">
        <f t="shared" si="0"/>
        <v>0.29375000000000001</v>
      </c>
    </row>
    <row r="21" spans="1:3" x14ac:dyDescent="0.2">
      <c r="A21" s="5">
        <v>42782</v>
      </c>
      <c r="B21" s="52">
        <f t="shared" si="0"/>
        <v>0.29375000000000001</v>
      </c>
    </row>
    <row r="22" spans="1:3" x14ac:dyDescent="0.2">
      <c r="A22" s="5">
        <v>42871</v>
      </c>
      <c r="B22" s="52">
        <f t="shared" si="0"/>
        <v>0.29375000000000001</v>
      </c>
    </row>
    <row r="23" spans="1:3" x14ac:dyDescent="0.2">
      <c r="A23" s="5">
        <v>42963</v>
      </c>
      <c r="B23" s="52">
        <f t="shared" si="0"/>
        <v>0.29375000000000001</v>
      </c>
    </row>
    <row r="24" spans="1:3" x14ac:dyDescent="0.2">
      <c r="A24" s="5">
        <v>43055</v>
      </c>
      <c r="B24" s="52">
        <f t="shared" si="0"/>
        <v>0.29375000000000001</v>
      </c>
    </row>
    <row r="25" spans="1:3" x14ac:dyDescent="0.2">
      <c r="A25" s="5">
        <v>43147</v>
      </c>
      <c r="B25" s="52">
        <f t="shared" si="0"/>
        <v>0.29375000000000001</v>
      </c>
    </row>
    <row r="26" spans="1:3" x14ac:dyDescent="0.2">
      <c r="A26" s="5">
        <v>43236</v>
      </c>
      <c r="B26" s="52">
        <f>$B$3*$B$2/4+B2</f>
        <v>25.293749999999999</v>
      </c>
      <c r="C26" t="e">
        <f ca="1">"&lt;-- "&amp;_xlfn.FORMULATEXT(B26)</f>
        <v>#NAME?</v>
      </c>
    </row>
    <row r="27" spans="1:3" x14ac:dyDescent="0.2">
      <c r="A27" s="5"/>
      <c r="B27" s="53"/>
    </row>
    <row r="28" spans="1:3" x14ac:dyDescent="0.2">
      <c r="A28" s="38" t="s">
        <v>73</v>
      </c>
      <c r="B28" s="20">
        <f>XIRR(B11:B26,A11:A26)</f>
        <v>7.3946198821067829E-2</v>
      </c>
      <c r="C28" t="e">
        <f ca="1">"&lt;-- "&amp;_xlfn.FORMULATEXT(B28)</f>
        <v>#NAME?</v>
      </c>
    </row>
    <row r="29" spans="1:3" x14ac:dyDescent="0.2">
      <c r="A29" s="38" t="s">
        <v>74</v>
      </c>
      <c r="B29" s="20">
        <f>YIELD(B5,B6,B3,B7*4,B2*4,4,3)</f>
        <v>6.9654510176336837E-2</v>
      </c>
      <c r="C29" t="e">
        <f ca="1">getformula(B29)</f>
        <v>#NAME?</v>
      </c>
    </row>
  </sheetData>
  <mergeCells count="2">
    <mergeCell ref="A1:C1"/>
    <mergeCell ref="A9:C9"/>
  </mergeCells>
  <phoneticPr fontId="6" type="noConversion"/>
  <printOptions headings="1" gridLines="1"/>
  <pageMargins left="0.75" right="0.75" top="1" bottom="1" header="0.5" footer="0.5"/>
  <pageSetup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231"/>
  <sheetViews>
    <sheetView workbookViewId="0">
      <selection sqref="A1:C1"/>
    </sheetView>
  </sheetViews>
  <sheetFormatPr defaultRowHeight="12.75" x14ac:dyDescent="0.2"/>
  <cols>
    <col min="1" max="1" width="26" bestFit="1" customWidth="1"/>
    <col min="2" max="2" width="12.140625" bestFit="1" customWidth="1"/>
    <col min="3" max="3" width="24.85546875" style="40" customWidth="1"/>
    <col min="5" max="5" width="26.7109375" bestFit="1" customWidth="1"/>
  </cols>
  <sheetData>
    <row r="1" spans="1:4" ht="36.75" customHeight="1" x14ac:dyDescent="0.2">
      <c r="A1" s="261" t="s">
        <v>308</v>
      </c>
      <c r="B1" s="261"/>
      <c r="C1" s="261"/>
    </row>
    <row r="2" spans="1:4" s="84" customFormat="1" x14ac:dyDescent="0.2">
      <c r="A2" s="84" t="s">
        <v>88</v>
      </c>
      <c r="B2" s="133">
        <v>100000</v>
      </c>
      <c r="C2" s="40"/>
    </row>
    <row r="3" spans="1:4" s="84" customFormat="1" x14ac:dyDescent="0.2">
      <c r="A3" s="84" t="s">
        <v>83</v>
      </c>
      <c r="B3" s="10">
        <v>6.25E-2</v>
      </c>
      <c r="C3" s="40"/>
    </row>
    <row r="4" spans="1:4" x14ac:dyDescent="0.2">
      <c r="A4" t="s">
        <v>83</v>
      </c>
      <c r="B4" s="12">
        <f>B3*B2</f>
        <v>6250</v>
      </c>
      <c r="C4" s="40" t="e">
        <f ca="1">"&lt;-- "&amp;_xlfn.FORMULATEXT(B4)</f>
        <v>#NAME?</v>
      </c>
    </row>
    <row r="5" spans="1:4" x14ac:dyDescent="0.2">
      <c r="A5" t="s">
        <v>309</v>
      </c>
      <c r="B5" s="12">
        <f>B4/2</f>
        <v>3125</v>
      </c>
      <c r="C5" s="40" t="e">
        <f ca="1">"&lt;-- "&amp;_xlfn.FORMULATEXT(B5)</f>
        <v>#NAME?</v>
      </c>
    </row>
    <row r="6" spans="1:4" ht="15" x14ac:dyDescent="0.25">
      <c r="A6" t="s">
        <v>319</v>
      </c>
      <c r="B6" s="134">
        <v>110445</v>
      </c>
    </row>
    <row r="8" spans="1:4" s="20" customFormat="1" x14ac:dyDescent="0.2">
      <c r="A8" s="29" t="s">
        <v>310</v>
      </c>
      <c r="B8" s="29">
        <f>B5/B6</f>
        <v>2.8294626284576033E-2</v>
      </c>
      <c r="C8" s="40" t="e">
        <f ca="1">getformula(B8)</f>
        <v>#NAME?</v>
      </c>
    </row>
    <row r="9" spans="1:4" x14ac:dyDescent="0.2">
      <c r="A9" s="27" t="s">
        <v>84</v>
      </c>
      <c r="B9" s="29">
        <f>(1+B8)^2-1</f>
        <v>5.7389838445735863E-2</v>
      </c>
      <c r="C9" s="40" t="e">
        <f ca="1">getformula(B9)</f>
        <v>#NAME?</v>
      </c>
    </row>
    <row r="10" spans="1:4" x14ac:dyDescent="0.2">
      <c r="B10" s="20"/>
    </row>
    <row r="11" spans="1:4" x14ac:dyDescent="0.2">
      <c r="B11" s="41"/>
    </row>
    <row r="12" spans="1:4" x14ac:dyDescent="0.2">
      <c r="B12" s="30"/>
      <c r="D12" s="41"/>
    </row>
    <row r="13" spans="1:4" x14ac:dyDescent="0.2">
      <c r="B13" s="39"/>
      <c r="D13" s="41"/>
    </row>
    <row r="14" spans="1:4" x14ac:dyDescent="0.2">
      <c r="B14" s="30"/>
      <c r="D14" s="41"/>
    </row>
    <row r="17" spans="1:4" x14ac:dyDescent="0.2">
      <c r="A17" s="2"/>
      <c r="B17" s="18"/>
      <c r="C17" s="42"/>
      <c r="D17" s="30"/>
    </row>
    <row r="18" spans="1:4" x14ac:dyDescent="0.2">
      <c r="A18" s="2"/>
      <c r="C18" s="42"/>
      <c r="D18" s="43"/>
    </row>
    <row r="19" spans="1:4" x14ac:dyDescent="0.2">
      <c r="A19" s="2"/>
      <c r="C19" s="42"/>
      <c r="D19" s="43"/>
    </row>
    <row r="20" spans="1:4" x14ac:dyDescent="0.2">
      <c r="A20" s="2"/>
      <c r="C20" s="42"/>
      <c r="D20" s="43"/>
    </row>
    <row r="21" spans="1:4" x14ac:dyDescent="0.2">
      <c r="A21" s="2"/>
      <c r="C21" s="42"/>
      <c r="D21" s="43"/>
    </row>
    <row r="22" spans="1:4" x14ac:dyDescent="0.2">
      <c r="A22" s="2"/>
      <c r="C22" s="42"/>
      <c r="D22" s="43"/>
    </row>
    <row r="23" spans="1:4" x14ac:dyDescent="0.2">
      <c r="A23" s="2"/>
      <c r="C23" s="42"/>
      <c r="D23" s="43"/>
    </row>
    <row r="24" spans="1:4" x14ac:dyDescent="0.2">
      <c r="A24" s="2"/>
      <c r="C24" s="42"/>
      <c r="D24" s="43"/>
    </row>
    <row r="25" spans="1:4" x14ac:dyDescent="0.2">
      <c r="A25" s="2"/>
      <c r="C25" s="42"/>
      <c r="D25" s="43"/>
    </row>
    <row r="26" spans="1:4" x14ac:dyDescent="0.2">
      <c r="A26" s="2"/>
      <c r="C26" s="42"/>
      <c r="D26" s="43"/>
    </row>
    <row r="27" spans="1:4" x14ac:dyDescent="0.2">
      <c r="A27" s="2"/>
      <c r="C27" s="42"/>
      <c r="D27" s="43"/>
    </row>
    <row r="28" spans="1:4" x14ac:dyDescent="0.2">
      <c r="A28" s="2"/>
      <c r="C28" s="42"/>
      <c r="D28" s="43"/>
    </row>
    <row r="29" spans="1:4" x14ac:dyDescent="0.2">
      <c r="A29" s="2"/>
      <c r="C29" s="42"/>
      <c r="D29" s="43"/>
    </row>
    <row r="30" spans="1:4" x14ac:dyDescent="0.2">
      <c r="A30" s="2"/>
      <c r="C30" s="42"/>
      <c r="D30" s="43"/>
    </row>
    <row r="31" spans="1:4" x14ac:dyDescent="0.2">
      <c r="A31" s="2"/>
      <c r="C31" s="42"/>
      <c r="D31" s="43"/>
    </row>
    <row r="32" spans="1:4" x14ac:dyDescent="0.2">
      <c r="A32" s="2"/>
      <c r="C32" s="42"/>
      <c r="D32" s="43"/>
    </row>
    <row r="33" spans="1:4" x14ac:dyDescent="0.2">
      <c r="A33" s="2"/>
      <c r="C33" s="42"/>
      <c r="D33" s="43"/>
    </row>
    <row r="34" spans="1:4" x14ac:dyDescent="0.2">
      <c r="A34" s="2"/>
      <c r="C34" s="42"/>
      <c r="D34" s="43"/>
    </row>
    <row r="35" spans="1:4" x14ac:dyDescent="0.2">
      <c r="A35" s="2"/>
      <c r="C35" s="42"/>
      <c r="D35" s="43"/>
    </row>
    <row r="36" spans="1:4" x14ac:dyDescent="0.2">
      <c r="A36" s="2"/>
      <c r="C36" s="42"/>
      <c r="D36" s="43"/>
    </row>
    <row r="37" spans="1:4" x14ac:dyDescent="0.2">
      <c r="A37" s="2"/>
      <c r="C37" s="42"/>
      <c r="D37" s="43"/>
    </row>
    <row r="38" spans="1:4" x14ac:dyDescent="0.2">
      <c r="A38" s="2"/>
      <c r="C38" s="42"/>
      <c r="D38" s="43"/>
    </row>
    <row r="39" spans="1:4" x14ac:dyDescent="0.2">
      <c r="A39" s="2"/>
      <c r="C39" s="42"/>
      <c r="D39" s="43"/>
    </row>
    <row r="40" spans="1:4" x14ac:dyDescent="0.2">
      <c r="A40" s="2"/>
      <c r="C40" s="42"/>
      <c r="D40" s="43"/>
    </row>
    <row r="41" spans="1:4" x14ac:dyDescent="0.2">
      <c r="A41" s="2"/>
      <c r="C41" s="42"/>
      <c r="D41" s="43"/>
    </row>
    <row r="42" spans="1:4" x14ac:dyDescent="0.2">
      <c r="A42" s="2"/>
      <c r="C42" s="42"/>
      <c r="D42" s="43"/>
    </row>
    <row r="43" spans="1:4" x14ac:dyDescent="0.2">
      <c r="A43" s="2"/>
      <c r="C43" s="42"/>
      <c r="D43" s="43"/>
    </row>
    <row r="44" spans="1:4" x14ac:dyDescent="0.2">
      <c r="A44" s="2"/>
      <c r="C44" s="42"/>
      <c r="D44" s="43"/>
    </row>
    <row r="45" spans="1:4" x14ac:dyDescent="0.2">
      <c r="A45" s="2"/>
      <c r="C45" s="42"/>
      <c r="D45" s="43"/>
    </row>
    <row r="46" spans="1:4" x14ac:dyDescent="0.2">
      <c r="A46" s="2"/>
      <c r="C46" s="42"/>
      <c r="D46" s="43"/>
    </row>
    <row r="47" spans="1:4" x14ac:dyDescent="0.2">
      <c r="A47" s="2"/>
      <c r="C47" s="42"/>
      <c r="D47" s="43"/>
    </row>
    <row r="48" spans="1:4" x14ac:dyDescent="0.2">
      <c r="A48" s="2"/>
      <c r="C48" s="42"/>
      <c r="D48" s="43"/>
    </row>
    <row r="49" spans="1:4" x14ac:dyDescent="0.2">
      <c r="A49" s="2"/>
      <c r="C49" s="42"/>
      <c r="D49" s="43"/>
    </row>
    <row r="50" spans="1:4" x14ac:dyDescent="0.2">
      <c r="A50" s="2"/>
      <c r="C50" s="42"/>
      <c r="D50" s="43"/>
    </row>
    <row r="51" spans="1:4" x14ac:dyDescent="0.2">
      <c r="A51" s="2"/>
      <c r="C51" s="42"/>
      <c r="D51" s="43"/>
    </row>
    <row r="52" spans="1:4" x14ac:dyDescent="0.2">
      <c r="A52" s="2"/>
      <c r="C52" s="42"/>
      <c r="D52" s="43"/>
    </row>
    <row r="53" spans="1:4" x14ac:dyDescent="0.2">
      <c r="A53" s="2"/>
      <c r="C53" s="42"/>
      <c r="D53" s="43"/>
    </row>
    <row r="54" spans="1:4" x14ac:dyDescent="0.2">
      <c r="A54" s="2"/>
      <c r="C54" s="42"/>
      <c r="D54" s="43"/>
    </row>
    <row r="55" spans="1:4" x14ac:dyDescent="0.2">
      <c r="A55" s="2"/>
      <c r="C55" s="42"/>
      <c r="D55" s="43"/>
    </row>
    <row r="56" spans="1:4" x14ac:dyDescent="0.2">
      <c r="A56" s="2"/>
      <c r="C56" s="42"/>
      <c r="D56" s="43"/>
    </row>
    <row r="57" spans="1:4" x14ac:dyDescent="0.2">
      <c r="A57" s="2"/>
      <c r="C57" s="42"/>
      <c r="D57" s="43"/>
    </row>
    <row r="58" spans="1:4" x14ac:dyDescent="0.2">
      <c r="A58" s="2"/>
      <c r="C58" s="42"/>
      <c r="D58" s="43"/>
    </row>
    <row r="59" spans="1:4" x14ac:dyDescent="0.2">
      <c r="A59" s="2"/>
      <c r="C59" s="42"/>
      <c r="D59" s="43"/>
    </row>
    <row r="60" spans="1:4" x14ac:dyDescent="0.2">
      <c r="A60" s="2"/>
      <c r="C60" s="42"/>
      <c r="D60" s="43"/>
    </row>
    <row r="61" spans="1:4" x14ac:dyDescent="0.2">
      <c r="A61" s="2"/>
      <c r="C61" s="42"/>
      <c r="D61" s="43"/>
    </row>
    <row r="62" spans="1:4" x14ac:dyDescent="0.2">
      <c r="A62" s="2"/>
      <c r="C62" s="42"/>
      <c r="D62" s="43"/>
    </row>
    <row r="63" spans="1:4" x14ac:dyDescent="0.2">
      <c r="A63" s="2"/>
      <c r="C63" s="42"/>
      <c r="D63" s="43"/>
    </row>
    <row r="64" spans="1:4" x14ac:dyDescent="0.2">
      <c r="A64" s="2"/>
      <c r="C64" s="42"/>
      <c r="D64" s="43"/>
    </row>
    <row r="65" spans="1:4" x14ac:dyDescent="0.2">
      <c r="A65" s="2"/>
      <c r="C65" s="42"/>
      <c r="D65" s="43"/>
    </row>
    <row r="66" spans="1:4" x14ac:dyDescent="0.2">
      <c r="A66" s="2"/>
      <c r="C66" s="42"/>
      <c r="D66" s="43"/>
    </row>
    <row r="67" spans="1:4" x14ac:dyDescent="0.2">
      <c r="A67" s="2"/>
      <c r="C67" s="42"/>
      <c r="D67" s="43"/>
    </row>
    <row r="68" spans="1:4" x14ac:dyDescent="0.2">
      <c r="A68" s="2"/>
      <c r="C68" s="42"/>
      <c r="D68" s="43"/>
    </row>
    <row r="69" spans="1:4" x14ac:dyDescent="0.2">
      <c r="A69" s="2"/>
      <c r="C69" s="42"/>
      <c r="D69" s="43"/>
    </row>
    <row r="70" spans="1:4" x14ac:dyDescent="0.2">
      <c r="A70" s="2"/>
      <c r="C70" s="42"/>
      <c r="D70" s="43"/>
    </row>
    <row r="71" spans="1:4" x14ac:dyDescent="0.2">
      <c r="A71" s="2"/>
      <c r="C71" s="42"/>
      <c r="D71" s="43"/>
    </row>
    <row r="72" spans="1:4" x14ac:dyDescent="0.2">
      <c r="A72" s="2"/>
      <c r="C72" s="42"/>
      <c r="D72" s="43"/>
    </row>
    <row r="73" spans="1:4" x14ac:dyDescent="0.2">
      <c r="A73" s="2"/>
      <c r="C73" s="42"/>
      <c r="D73" s="43"/>
    </row>
    <row r="74" spans="1:4" x14ac:dyDescent="0.2">
      <c r="A74" s="2"/>
      <c r="C74" s="42"/>
      <c r="D74" s="43"/>
    </row>
    <row r="75" spans="1:4" x14ac:dyDescent="0.2">
      <c r="A75" s="2"/>
      <c r="C75" s="42"/>
      <c r="D75" s="43"/>
    </row>
    <row r="76" spans="1:4" x14ac:dyDescent="0.2">
      <c r="A76" s="2"/>
      <c r="C76" s="42"/>
      <c r="D76" s="43"/>
    </row>
    <row r="77" spans="1:4" x14ac:dyDescent="0.2">
      <c r="A77" s="2"/>
      <c r="C77" s="42"/>
      <c r="D77" s="43"/>
    </row>
    <row r="78" spans="1:4" x14ac:dyDescent="0.2">
      <c r="A78" s="2"/>
      <c r="C78" s="42"/>
      <c r="D78" s="43"/>
    </row>
    <row r="79" spans="1:4" x14ac:dyDescent="0.2">
      <c r="A79" s="2"/>
      <c r="C79" s="42"/>
      <c r="D79" s="43"/>
    </row>
    <row r="80" spans="1:4" x14ac:dyDescent="0.2">
      <c r="A80" s="2"/>
      <c r="C80" s="42"/>
      <c r="D80" s="43"/>
    </row>
    <row r="81" spans="1:4" x14ac:dyDescent="0.2">
      <c r="A81" s="2"/>
      <c r="C81" s="42"/>
      <c r="D81" s="43"/>
    </row>
    <row r="82" spans="1:4" x14ac:dyDescent="0.2">
      <c r="A82" s="2"/>
      <c r="C82" s="42"/>
      <c r="D82" s="43"/>
    </row>
    <row r="83" spans="1:4" x14ac:dyDescent="0.2">
      <c r="A83" s="2"/>
      <c r="C83" s="42"/>
      <c r="D83" s="43"/>
    </row>
    <row r="84" spans="1:4" x14ac:dyDescent="0.2">
      <c r="A84" s="2"/>
      <c r="C84" s="42"/>
      <c r="D84" s="43"/>
    </row>
    <row r="85" spans="1:4" x14ac:dyDescent="0.2">
      <c r="A85" s="2"/>
      <c r="C85" s="42"/>
      <c r="D85" s="43"/>
    </row>
    <row r="86" spans="1:4" x14ac:dyDescent="0.2">
      <c r="A86" s="2"/>
      <c r="C86" s="42"/>
      <c r="D86" s="43"/>
    </row>
    <row r="87" spans="1:4" x14ac:dyDescent="0.2">
      <c r="A87" s="2"/>
      <c r="C87" s="42"/>
      <c r="D87" s="43"/>
    </row>
    <row r="88" spans="1:4" x14ac:dyDescent="0.2">
      <c r="A88" s="2"/>
      <c r="C88" s="42"/>
      <c r="D88" s="43"/>
    </row>
    <row r="89" spans="1:4" x14ac:dyDescent="0.2">
      <c r="A89" s="2"/>
      <c r="C89" s="42"/>
      <c r="D89" s="43"/>
    </row>
    <row r="90" spans="1:4" x14ac:dyDescent="0.2">
      <c r="A90" s="2"/>
      <c r="C90" s="42"/>
      <c r="D90" s="43"/>
    </row>
    <row r="91" spans="1:4" x14ac:dyDescent="0.2">
      <c r="A91" s="2"/>
      <c r="C91" s="42"/>
      <c r="D91" s="43"/>
    </row>
    <row r="92" spans="1:4" x14ac:dyDescent="0.2">
      <c r="A92" s="2"/>
      <c r="C92" s="42"/>
      <c r="D92" s="43"/>
    </row>
    <row r="93" spans="1:4" x14ac:dyDescent="0.2">
      <c r="A93" s="2"/>
      <c r="C93" s="42"/>
      <c r="D93" s="43"/>
    </row>
    <row r="94" spans="1:4" x14ac:dyDescent="0.2">
      <c r="A94" s="2"/>
      <c r="C94" s="42"/>
      <c r="D94" s="43"/>
    </row>
    <row r="95" spans="1:4" x14ac:dyDescent="0.2">
      <c r="A95" s="2"/>
      <c r="C95" s="42"/>
      <c r="D95" s="43"/>
    </row>
    <row r="96" spans="1:4" x14ac:dyDescent="0.2">
      <c r="A96" s="2"/>
      <c r="C96" s="42"/>
      <c r="D96" s="43"/>
    </row>
    <row r="97" spans="1:4" x14ac:dyDescent="0.2">
      <c r="A97" s="2"/>
      <c r="C97" s="42"/>
      <c r="D97" s="43"/>
    </row>
    <row r="98" spans="1:4" x14ac:dyDescent="0.2">
      <c r="A98" s="2"/>
      <c r="C98" s="42"/>
      <c r="D98" s="43"/>
    </row>
    <row r="99" spans="1:4" x14ac:dyDescent="0.2">
      <c r="A99" s="2"/>
      <c r="C99" s="42"/>
      <c r="D99" s="43"/>
    </row>
    <row r="100" spans="1:4" x14ac:dyDescent="0.2">
      <c r="A100" s="2"/>
      <c r="C100" s="42"/>
      <c r="D100" s="43"/>
    </row>
    <row r="101" spans="1:4" x14ac:dyDescent="0.2">
      <c r="A101" s="2"/>
      <c r="C101" s="42"/>
      <c r="D101" s="43"/>
    </row>
    <row r="102" spans="1:4" x14ac:dyDescent="0.2">
      <c r="A102" s="2"/>
      <c r="C102" s="42"/>
      <c r="D102" s="43"/>
    </row>
    <row r="103" spans="1:4" x14ac:dyDescent="0.2">
      <c r="A103" s="2"/>
      <c r="C103" s="42"/>
      <c r="D103" s="43"/>
    </row>
    <row r="104" spans="1:4" x14ac:dyDescent="0.2">
      <c r="A104" s="2"/>
      <c r="C104" s="42"/>
      <c r="D104" s="43"/>
    </row>
    <row r="105" spans="1:4" x14ac:dyDescent="0.2">
      <c r="A105" s="2"/>
      <c r="C105" s="42"/>
      <c r="D105" s="43"/>
    </row>
    <row r="106" spans="1:4" x14ac:dyDescent="0.2">
      <c r="A106" s="2"/>
      <c r="C106" s="42"/>
      <c r="D106" s="43"/>
    </row>
    <row r="107" spans="1:4" x14ac:dyDescent="0.2">
      <c r="A107" s="2"/>
      <c r="C107" s="42"/>
      <c r="D107" s="43"/>
    </row>
    <row r="108" spans="1:4" x14ac:dyDescent="0.2">
      <c r="A108" s="2"/>
      <c r="C108" s="42"/>
      <c r="D108" s="43"/>
    </row>
    <row r="109" spans="1:4" x14ac:dyDescent="0.2">
      <c r="A109" s="2"/>
      <c r="C109" s="42"/>
      <c r="D109" s="43"/>
    </row>
    <row r="110" spans="1:4" x14ac:dyDescent="0.2">
      <c r="A110" s="2"/>
      <c r="C110" s="42"/>
      <c r="D110" s="43"/>
    </row>
    <row r="111" spans="1:4" x14ac:dyDescent="0.2">
      <c r="A111" s="2"/>
      <c r="C111" s="42"/>
      <c r="D111" s="43"/>
    </row>
    <row r="112" spans="1:4" x14ac:dyDescent="0.2">
      <c r="A112" s="2"/>
      <c r="C112" s="42"/>
      <c r="D112" s="43"/>
    </row>
    <row r="113" spans="1:4" x14ac:dyDescent="0.2">
      <c r="A113" s="2"/>
      <c r="C113" s="42"/>
      <c r="D113" s="43"/>
    </row>
    <row r="114" spans="1:4" x14ac:dyDescent="0.2">
      <c r="A114" s="2"/>
      <c r="C114" s="42"/>
      <c r="D114" s="43"/>
    </row>
    <row r="115" spans="1:4" x14ac:dyDescent="0.2">
      <c r="A115" s="2"/>
      <c r="C115" s="42"/>
      <c r="D115" s="43"/>
    </row>
    <row r="116" spans="1:4" x14ac:dyDescent="0.2">
      <c r="A116" s="2"/>
      <c r="C116" s="42"/>
      <c r="D116" s="43"/>
    </row>
    <row r="117" spans="1:4" x14ac:dyDescent="0.2">
      <c r="A117" s="2"/>
      <c r="C117" s="42"/>
      <c r="D117" s="43"/>
    </row>
    <row r="118" spans="1:4" x14ac:dyDescent="0.2">
      <c r="A118" s="2"/>
      <c r="C118" s="42"/>
      <c r="D118" s="43"/>
    </row>
    <row r="119" spans="1:4" x14ac:dyDescent="0.2">
      <c r="A119" s="2"/>
      <c r="C119" s="42"/>
      <c r="D119" s="43"/>
    </row>
    <row r="120" spans="1:4" x14ac:dyDescent="0.2">
      <c r="A120" s="2"/>
      <c r="C120" s="42"/>
      <c r="D120" s="43"/>
    </row>
    <row r="121" spans="1:4" x14ac:dyDescent="0.2">
      <c r="A121" s="2"/>
      <c r="C121" s="42"/>
      <c r="D121" s="43"/>
    </row>
    <row r="122" spans="1:4" x14ac:dyDescent="0.2">
      <c r="A122" s="2"/>
      <c r="C122" s="42"/>
      <c r="D122" s="43"/>
    </row>
    <row r="123" spans="1:4" x14ac:dyDescent="0.2">
      <c r="A123" s="2"/>
      <c r="C123" s="42"/>
      <c r="D123" s="43"/>
    </row>
    <row r="124" spans="1:4" x14ac:dyDescent="0.2">
      <c r="A124" s="2"/>
      <c r="C124" s="42"/>
      <c r="D124" s="43"/>
    </row>
    <row r="125" spans="1:4" x14ac:dyDescent="0.2">
      <c r="A125" s="2"/>
      <c r="C125" s="42"/>
      <c r="D125" s="43"/>
    </row>
    <row r="126" spans="1:4" x14ac:dyDescent="0.2">
      <c r="A126" s="2"/>
      <c r="C126" s="42"/>
      <c r="D126" s="43"/>
    </row>
    <row r="127" spans="1:4" x14ac:dyDescent="0.2">
      <c r="A127" s="2"/>
      <c r="C127" s="42"/>
      <c r="D127" s="43"/>
    </row>
    <row r="128" spans="1:4" x14ac:dyDescent="0.2">
      <c r="A128" s="2"/>
      <c r="C128" s="42"/>
      <c r="D128" s="43"/>
    </row>
    <row r="129" spans="1:4" x14ac:dyDescent="0.2">
      <c r="A129" s="2"/>
      <c r="C129" s="42"/>
      <c r="D129" s="43"/>
    </row>
    <row r="130" spans="1:4" x14ac:dyDescent="0.2">
      <c r="A130" s="2"/>
      <c r="C130" s="42"/>
      <c r="D130" s="43"/>
    </row>
    <row r="131" spans="1:4" x14ac:dyDescent="0.2">
      <c r="A131" s="2"/>
      <c r="C131" s="42"/>
      <c r="D131" s="43"/>
    </row>
    <row r="132" spans="1:4" x14ac:dyDescent="0.2">
      <c r="A132" s="2"/>
      <c r="C132" s="42"/>
      <c r="D132" s="43"/>
    </row>
    <row r="133" spans="1:4" x14ac:dyDescent="0.2">
      <c r="A133" s="2"/>
      <c r="C133" s="42"/>
      <c r="D133" s="43"/>
    </row>
    <row r="134" spans="1:4" x14ac:dyDescent="0.2">
      <c r="A134" s="2"/>
      <c r="C134" s="42"/>
      <c r="D134" s="43"/>
    </row>
    <row r="135" spans="1:4" x14ac:dyDescent="0.2">
      <c r="A135" s="2"/>
      <c r="C135" s="42"/>
      <c r="D135" s="43"/>
    </row>
    <row r="136" spans="1:4" x14ac:dyDescent="0.2">
      <c r="A136" s="2"/>
      <c r="C136" s="42"/>
      <c r="D136" s="43"/>
    </row>
    <row r="137" spans="1:4" x14ac:dyDescent="0.2">
      <c r="A137" s="2"/>
      <c r="C137" s="42"/>
      <c r="D137" s="43"/>
    </row>
    <row r="138" spans="1:4" x14ac:dyDescent="0.2">
      <c r="A138" s="2"/>
      <c r="C138" s="42"/>
      <c r="D138" s="43"/>
    </row>
    <row r="139" spans="1:4" x14ac:dyDescent="0.2">
      <c r="A139" s="2"/>
      <c r="C139" s="42"/>
      <c r="D139" s="43"/>
    </row>
    <row r="140" spans="1:4" x14ac:dyDescent="0.2">
      <c r="A140" s="2"/>
      <c r="C140" s="42"/>
      <c r="D140" s="43"/>
    </row>
    <row r="141" spans="1:4" x14ac:dyDescent="0.2">
      <c r="A141" s="2"/>
      <c r="C141" s="42"/>
      <c r="D141" s="43"/>
    </row>
    <row r="142" spans="1:4" x14ac:dyDescent="0.2">
      <c r="A142" s="2"/>
      <c r="C142" s="42"/>
      <c r="D142" s="43"/>
    </row>
    <row r="143" spans="1:4" x14ac:dyDescent="0.2">
      <c r="A143" s="2"/>
      <c r="C143" s="42"/>
      <c r="D143" s="43"/>
    </row>
    <row r="144" spans="1:4" x14ac:dyDescent="0.2">
      <c r="A144" s="2"/>
      <c r="C144" s="42"/>
      <c r="D144" s="43"/>
    </row>
    <row r="145" spans="1:4" x14ac:dyDescent="0.2">
      <c r="A145" s="2"/>
      <c r="C145" s="42"/>
      <c r="D145" s="43"/>
    </row>
    <row r="146" spans="1:4" x14ac:dyDescent="0.2">
      <c r="A146" s="2"/>
      <c r="C146" s="42"/>
      <c r="D146" s="43"/>
    </row>
    <row r="147" spans="1:4" x14ac:dyDescent="0.2">
      <c r="A147" s="2"/>
      <c r="C147" s="42"/>
      <c r="D147" s="43"/>
    </row>
    <row r="148" spans="1:4" x14ac:dyDescent="0.2">
      <c r="A148" s="2"/>
      <c r="C148" s="42"/>
      <c r="D148" s="43"/>
    </row>
    <row r="149" spans="1:4" x14ac:dyDescent="0.2">
      <c r="A149" s="2"/>
      <c r="C149" s="42"/>
      <c r="D149" s="43"/>
    </row>
    <row r="150" spans="1:4" x14ac:dyDescent="0.2">
      <c r="A150" s="2"/>
      <c r="C150" s="42"/>
      <c r="D150" s="43"/>
    </row>
    <row r="151" spans="1:4" x14ac:dyDescent="0.2">
      <c r="A151" s="2"/>
      <c r="C151" s="42"/>
      <c r="D151" s="43"/>
    </row>
    <row r="152" spans="1:4" x14ac:dyDescent="0.2">
      <c r="A152" s="2"/>
      <c r="C152" s="42"/>
      <c r="D152" s="43"/>
    </row>
    <row r="153" spans="1:4" x14ac:dyDescent="0.2">
      <c r="A153" s="2"/>
      <c r="C153" s="42"/>
      <c r="D153" s="43"/>
    </row>
    <row r="154" spans="1:4" x14ac:dyDescent="0.2">
      <c r="A154" s="2"/>
      <c r="C154" s="42"/>
      <c r="D154" s="43"/>
    </row>
    <row r="155" spans="1:4" x14ac:dyDescent="0.2">
      <c r="A155" s="2"/>
      <c r="C155" s="42"/>
      <c r="D155" s="43"/>
    </row>
    <row r="156" spans="1:4" x14ac:dyDescent="0.2">
      <c r="A156" s="2"/>
      <c r="C156" s="42"/>
      <c r="D156" s="43"/>
    </row>
    <row r="157" spans="1:4" x14ac:dyDescent="0.2">
      <c r="A157" s="2"/>
      <c r="C157" s="42"/>
      <c r="D157" s="43"/>
    </row>
    <row r="158" spans="1:4" x14ac:dyDescent="0.2">
      <c r="A158" s="2"/>
      <c r="C158" s="42"/>
      <c r="D158" s="43"/>
    </row>
    <row r="159" spans="1:4" x14ac:dyDescent="0.2">
      <c r="A159" s="2"/>
      <c r="C159" s="42"/>
      <c r="D159" s="43"/>
    </row>
    <row r="160" spans="1:4" x14ac:dyDescent="0.2">
      <c r="A160" s="2"/>
      <c r="C160" s="42"/>
      <c r="D160" s="43"/>
    </row>
    <row r="161" spans="1:4" x14ac:dyDescent="0.2">
      <c r="A161" s="2"/>
      <c r="C161" s="42"/>
      <c r="D161" s="43"/>
    </row>
    <row r="162" spans="1:4" x14ac:dyDescent="0.2">
      <c r="A162" s="2"/>
      <c r="C162" s="42"/>
      <c r="D162" s="43"/>
    </row>
    <row r="163" spans="1:4" x14ac:dyDescent="0.2">
      <c r="A163" s="2"/>
      <c r="C163" s="42"/>
      <c r="D163" s="43"/>
    </row>
    <row r="164" spans="1:4" x14ac:dyDescent="0.2">
      <c r="A164" s="2"/>
      <c r="C164" s="42"/>
      <c r="D164" s="43"/>
    </row>
    <row r="165" spans="1:4" x14ac:dyDescent="0.2">
      <c r="A165" s="2"/>
      <c r="C165" s="42"/>
      <c r="D165" s="43"/>
    </row>
    <row r="166" spans="1:4" x14ac:dyDescent="0.2">
      <c r="A166" s="2"/>
      <c r="C166" s="42"/>
      <c r="D166" s="43"/>
    </row>
    <row r="167" spans="1:4" x14ac:dyDescent="0.2">
      <c r="A167" s="2"/>
      <c r="C167" s="42"/>
      <c r="D167" s="43"/>
    </row>
    <row r="168" spans="1:4" x14ac:dyDescent="0.2">
      <c r="A168" s="2"/>
      <c r="C168" s="42"/>
      <c r="D168" s="43"/>
    </row>
    <row r="169" spans="1:4" x14ac:dyDescent="0.2">
      <c r="A169" s="2"/>
      <c r="C169" s="42"/>
      <c r="D169" s="43"/>
    </row>
    <row r="170" spans="1:4" x14ac:dyDescent="0.2">
      <c r="A170" s="2"/>
      <c r="C170" s="42"/>
      <c r="D170" s="43"/>
    </row>
    <row r="171" spans="1:4" x14ac:dyDescent="0.2">
      <c r="A171" s="2"/>
      <c r="C171" s="42"/>
      <c r="D171" s="43"/>
    </row>
    <row r="172" spans="1:4" x14ac:dyDescent="0.2">
      <c r="A172" s="2"/>
      <c r="C172" s="42"/>
      <c r="D172" s="43"/>
    </row>
    <row r="173" spans="1:4" x14ac:dyDescent="0.2">
      <c r="A173" s="2"/>
      <c r="C173" s="42"/>
      <c r="D173" s="43"/>
    </row>
    <row r="174" spans="1:4" x14ac:dyDescent="0.2">
      <c r="A174" s="2"/>
      <c r="C174" s="42"/>
      <c r="D174" s="43"/>
    </row>
    <row r="175" spans="1:4" x14ac:dyDescent="0.2">
      <c r="A175" s="2"/>
      <c r="C175" s="42"/>
      <c r="D175" s="43"/>
    </row>
    <row r="176" spans="1:4" x14ac:dyDescent="0.2">
      <c r="A176" s="2"/>
      <c r="C176" s="42"/>
      <c r="D176" s="43"/>
    </row>
    <row r="177" spans="1:4" x14ac:dyDescent="0.2">
      <c r="A177" s="2"/>
      <c r="C177" s="42"/>
      <c r="D177" s="43"/>
    </row>
    <row r="178" spans="1:4" x14ac:dyDescent="0.2">
      <c r="A178" s="2"/>
      <c r="C178" s="42"/>
      <c r="D178" s="43"/>
    </row>
    <row r="179" spans="1:4" x14ac:dyDescent="0.2">
      <c r="A179" s="2"/>
      <c r="C179" s="42"/>
      <c r="D179" s="43"/>
    </row>
    <row r="180" spans="1:4" x14ac:dyDescent="0.2">
      <c r="A180" s="2"/>
      <c r="C180" s="42"/>
      <c r="D180" s="43"/>
    </row>
    <row r="181" spans="1:4" x14ac:dyDescent="0.2">
      <c r="A181" s="2"/>
      <c r="C181" s="42"/>
      <c r="D181" s="43"/>
    </row>
    <row r="182" spans="1:4" x14ac:dyDescent="0.2">
      <c r="A182" s="2"/>
      <c r="C182" s="42"/>
      <c r="D182" s="43"/>
    </row>
    <row r="183" spans="1:4" x14ac:dyDescent="0.2">
      <c r="A183" s="2"/>
      <c r="C183" s="42"/>
      <c r="D183" s="43"/>
    </row>
    <row r="184" spans="1:4" x14ac:dyDescent="0.2">
      <c r="A184" s="2"/>
      <c r="C184" s="42"/>
      <c r="D184" s="43"/>
    </row>
    <row r="185" spans="1:4" x14ac:dyDescent="0.2">
      <c r="A185" s="2"/>
      <c r="C185" s="42"/>
      <c r="D185" s="43"/>
    </row>
    <row r="186" spans="1:4" x14ac:dyDescent="0.2">
      <c r="A186" s="2"/>
      <c r="C186" s="42"/>
      <c r="D186" s="43"/>
    </row>
    <row r="187" spans="1:4" x14ac:dyDescent="0.2">
      <c r="A187" s="2"/>
      <c r="C187" s="42"/>
      <c r="D187" s="43"/>
    </row>
    <row r="188" spans="1:4" x14ac:dyDescent="0.2">
      <c r="A188" s="2"/>
      <c r="C188" s="42"/>
      <c r="D188" s="43"/>
    </row>
    <row r="189" spans="1:4" x14ac:dyDescent="0.2">
      <c r="A189" s="2"/>
      <c r="C189" s="42"/>
      <c r="D189" s="43"/>
    </row>
    <row r="190" spans="1:4" x14ac:dyDescent="0.2">
      <c r="A190" s="2"/>
      <c r="C190" s="42"/>
      <c r="D190" s="43"/>
    </row>
    <row r="191" spans="1:4" x14ac:dyDescent="0.2">
      <c r="A191" s="2"/>
      <c r="C191" s="42"/>
      <c r="D191" s="43"/>
    </row>
    <row r="192" spans="1:4" x14ac:dyDescent="0.2">
      <c r="A192" s="2"/>
      <c r="C192" s="42"/>
      <c r="D192" s="43"/>
    </row>
    <row r="193" spans="1:4" x14ac:dyDescent="0.2">
      <c r="A193" s="2"/>
      <c r="C193" s="42"/>
      <c r="D193" s="43"/>
    </row>
    <row r="194" spans="1:4" x14ac:dyDescent="0.2">
      <c r="A194" s="2"/>
      <c r="C194" s="42"/>
      <c r="D194" s="43"/>
    </row>
    <row r="195" spans="1:4" x14ac:dyDescent="0.2">
      <c r="A195" s="2"/>
      <c r="C195" s="42"/>
      <c r="D195" s="43"/>
    </row>
    <row r="196" spans="1:4" x14ac:dyDescent="0.2">
      <c r="A196" s="2"/>
      <c r="C196" s="42"/>
      <c r="D196" s="43"/>
    </row>
    <row r="197" spans="1:4" x14ac:dyDescent="0.2">
      <c r="A197" s="2"/>
      <c r="C197" s="42"/>
      <c r="D197" s="43"/>
    </row>
    <row r="198" spans="1:4" x14ac:dyDescent="0.2">
      <c r="A198" s="2"/>
      <c r="C198" s="42"/>
      <c r="D198" s="43"/>
    </row>
    <row r="199" spans="1:4" x14ac:dyDescent="0.2">
      <c r="A199" s="2"/>
      <c r="C199" s="42"/>
      <c r="D199" s="43"/>
    </row>
    <row r="200" spans="1:4" x14ac:dyDescent="0.2">
      <c r="A200" s="2"/>
      <c r="C200" s="42"/>
      <c r="D200" s="43"/>
    </row>
    <row r="201" spans="1:4" x14ac:dyDescent="0.2">
      <c r="A201" s="2"/>
      <c r="C201" s="42"/>
      <c r="D201" s="43"/>
    </row>
    <row r="202" spans="1:4" x14ac:dyDescent="0.2">
      <c r="A202" s="2"/>
      <c r="C202" s="42"/>
      <c r="D202" s="43"/>
    </row>
    <row r="203" spans="1:4" x14ac:dyDescent="0.2">
      <c r="A203" s="2"/>
      <c r="C203" s="42"/>
      <c r="D203" s="43"/>
    </row>
    <row r="204" spans="1:4" x14ac:dyDescent="0.2">
      <c r="A204" s="2"/>
      <c r="C204" s="42"/>
      <c r="D204" s="43"/>
    </row>
    <row r="205" spans="1:4" x14ac:dyDescent="0.2">
      <c r="A205" s="2"/>
      <c r="C205" s="42"/>
      <c r="D205" s="43"/>
    </row>
    <row r="206" spans="1:4" x14ac:dyDescent="0.2">
      <c r="A206" s="2"/>
      <c r="C206" s="42"/>
      <c r="D206" s="43"/>
    </row>
    <row r="207" spans="1:4" x14ac:dyDescent="0.2">
      <c r="A207" s="2"/>
      <c r="C207" s="42"/>
      <c r="D207" s="43"/>
    </row>
    <row r="208" spans="1:4" x14ac:dyDescent="0.2">
      <c r="A208" s="2"/>
      <c r="C208" s="42"/>
      <c r="D208" s="43"/>
    </row>
    <row r="209" spans="1:4" x14ac:dyDescent="0.2">
      <c r="A209" s="2"/>
      <c r="C209" s="42"/>
      <c r="D209" s="43"/>
    </row>
    <row r="210" spans="1:4" x14ac:dyDescent="0.2">
      <c r="A210" s="2"/>
      <c r="C210" s="42"/>
      <c r="D210" s="43"/>
    </row>
    <row r="211" spans="1:4" x14ac:dyDescent="0.2">
      <c r="A211" s="2"/>
      <c r="C211" s="42"/>
      <c r="D211" s="43"/>
    </row>
    <row r="212" spans="1:4" x14ac:dyDescent="0.2">
      <c r="A212" s="2"/>
      <c r="C212" s="42"/>
      <c r="D212" s="43"/>
    </row>
    <row r="213" spans="1:4" x14ac:dyDescent="0.2">
      <c r="A213" s="2"/>
      <c r="C213" s="42"/>
      <c r="D213" s="43"/>
    </row>
    <row r="214" spans="1:4" x14ac:dyDescent="0.2">
      <c r="A214" s="2"/>
      <c r="C214" s="42"/>
      <c r="D214" s="43"/>
    </row>
    <row r="215" spans="1:4" x14ac:dyDescent="0.2">
      <c r="A215" s="2"/>
      <c r="C215" s="42"/>
      <c r="D215" s="43"/>
    </row>
    <row r="216" spans="1:4" x14ac:dyDescent="0.2">
      <c r="A216" s="2"/>
      <c r="C216" s="42"/>
      <c r="D216" s="43"/>
    </row>
    <row r="217" spans="1:4" x14ac:dyDescent="0.2">
      <c r="A217" s="2"/>
      <c r="C217" s="42"/>
      <c r="D217" s="43"/>
    </row>
    <row r="218" spans="1:4" x14ac:dyDescent="0.2">
      <c r="A218" s="2"/>
      <c r="C218" s="42"/>
      <c r="D218" s="43"/>
    </row>
    <row r="219" spans="1:4" x14ac:dyDescent="0.2">
      <c r="A219" s="2"/>
      <c r="C219" s="42"/>
      <c r="D219" s="43"/>
    </row>
    <row r="220" spans="1:4" x14ac:dyDescent="0.2">
      <c r="A220" s="2"/>
      <c r="C220" s="42"/>
      <c r="D220" s="43"/>
    </row>
    <row r="221" spans="1:4" x14ac:dyDescent="0.2">
      <c r="A221" s="2"/>
      <c r="C221" s="42"/>
      <c r="D221" s="43"/>
    </row>
    <row r="222" spans="1:4" x14ac:dyDescent="0.2">
      <c r="A222" s="2"/>
      <c r="C222" s="42"/>
      <c r="D222" s="43"/>
    </row>
    <row r="223" spans="1:4" x14ac:dyDescent="0.2">
      <c r="A223" s="2"/>
      <c r="C223" s="42"/>
      <c r="D223" s="43"/>
    </row>
    <row r="224" spans="1:4" x14ac:dyDescent="0.2">
      <c r="A224" s="2"/>
      <c r="C224" s="42"/>
      <c r="D224" s="43"/>
    </row>
    <row r="225" spans="1:4" x14ac:dyDescent="0.2">
      <c r="A225" s="2"/>
      <c r="C225" s="42"/>
      <c r="D225" s="43"/>
    </row>
    <row r="226" spans="1:4" x14ac:dyDescent="0.2">
      <c r="A226" s="2"/>
      <c r="C226" s="42"/>
      <c r="D226" s="43"/>
    </row>
    <row r="227" spans="1:4" x14ac:dyDescent="0.2">
      <c r="A227" s="2"/>
      <c r="C227" s="42"/>
      <c r="D227" s="43"/>
    </row>
    <row r="228" spans="1:4" x14ac:dyDescent="0.2">
      <c r="A228" s="2"/>
      <c r="C228" s="42"/>
      <c r="D228" s="43"/>
    </row>
    <row r="229" spans="1:4" x14ac:dyDescent="0.2">
      <c r="A229" s="2"/>
      <c r="C229" s="42"/>
      <c r="D229" s="43"/>
    </row>
    <row r="230" spans="1:4" x14ac:dyDescent="0.2">
      <c r="A230" s="2"/>
      <c r="C230" s="42"/>
      <c r="D230" s="43"/>
    </row>
    <row r="231" spans="1:4" x14ac:dyDescent="0.2">
      <c r="A231" s="2"/>
      <c r="C231" s="42"/>
      <c r="D231" s="43"/>
    </row>
  </sheetData>
  <mergeCells count="1">
    <mergeCell ref="A1:C1"/>
  </mergeCells>
  <phoneticPr fontId="6" type="noConversion"/>
  <printOptions headings="1" gridLines="1"/>
  <pageMargins left="0.75" right="0.75" top="1" bottom="1" header="0.5" footer="0.5"/>
  <pageSetup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G34"/>
  <sheetViews>
    <sheetView topLeftCell="A7" workbookViewId="0">
      <selection activeCell="B11" sqref="B11"/>
    </sheetView>
  </sheetViews>
  <sheetFormatPr defaultRowHeight="12.75" x14ac:dyDescent="0.2"/>
  <cols>
    <col min="1" max="1" width="39.140625" customWidth="1"/>
    <col min="2" max="2" width="9.85546875" bestFit="1" customWidth="1"/>
    <col min="3" max="3" width="25" bestFit="1" customWidth="1"/>
    <col min="6" max="6" width="23.5703125" bestFit="1" customWidth="1"/>
    <col min="7" max="7" width="9.85546875" bestFit="1" customWidth="1"/>
  </cols>
  <sheetData>
    <row r="1" spans="1:7" ht="36" customHeight="1" x14ac:dyDescent="0.2">
      <c r="A1" s="261" t="s">
        <v>320</v>
      </c>
      <c r="B1" s="261"/>
      <c r="C1" s="261"/>
    </row>
    <row r="2" spans="1:7" x14ac:dyDescent="0.2">
      <c r="A2" t="s">
        <v>85</v>
      </c>
      <c r="B2" s="135">
        <v>44910</v>
      </c>
      <c r="F2" t="s">
        <v>22</v>
      </c>
      <c r="G2" s="135">
        <v>45092</v>
      </c>
    </row>
    <row r="3" spans="1:7" x14ac:dyDescent="0.2">
      <c r="A3" t="s">
        <v>86</v>
      </c>
      <c r="B3" s="135">
        <v>44727</v>
      </c>
      <c r="F3" t="s">
        <v>312</v>
      </c>
      <c r="G3" s="135">
        <v>45157</v>
      </c>
    </row>
    <row r="4" spans="1:7" x14ac:dyDescent="0.2">
      <c r="A4" t="s">
        <v>87</v>
      </c>
      <c r="B4" s="135">
        <v>44910</v>
      </c>
      <c r="F4" t="s">
        <v>311</v>
      </c>
      <c r="G4" s="135">
        <v>45275</v>
      </c>
    </row>
    <row r="5" spans="1:7" x14ac:dyDescent="0.2">
      <c r="A5" t="s">
        <v>88</v>
      </c>
      <c r="B5" s="12">
        <v>100000</v>
      </c>
    </row>
    <row r="6" spans="1:7" x14ac:dyDescent="0.2">
      <c r="A6" t="s">
        <v>309</v>
      </c>
      <c r="B6" s="12">
        <f>(6.25%*B5)/2</f>
        <v>3125</v>
      </c>
      <c r="C6" t="e">
        <f ca="1">getformula(B6)</f>
        <v>#NAME?</v>
      </c>
      <c r="F6" t="s">
        <v>313</v>
      </c>
      <c r="G6">
        <f>G3-G2</f>
        <v>65</v>
      </c>
    </row>
    <row r="7" spans="1:7" x14ac:dyDescent="0.2">
      <c r="A7" t="s">
        <v>318</v>
      </c>
      <c r="B7" s="12">
        <f>'Page 485'!B6</f>
        <v>110445</v>
      </c>
      <c r="C7" s="159">
        <v>41922</v>
      </c>
      <c r="F7" t="s">
        <v>314</v>
      </c>
      <c r="G7">
        <f>G4-G2</f>
        <v>183</v>
      </c>
    </row>
    <row r="8" spans="1:7" s="84" customFormat="1" x14ac:dyDescent="0.2"/>
    <row r="9" spans="1:7" x14ac:dyDescent="0.2">
      <c r="A9" t="s">
        <v>89</v>
      </c>
      <c r="B9" s="9">
        <f>B2-B3</f>
        <v>183</v>
      </c>
      <c r="C9" t="e">
        <f ca="1">"&lt;-- "&amp;_xlfn.FORMULATEXT(B9)</f>
        <v>#NAME?</v>
      </c>
    </row>
    <row r="10" spans="1:7" x14ac:dyDescent="0.2">
      <c r="A10" t="s">
        <v>90</v>
      </c>
      <c r="B10" s="40">
        <f>B4-B3</f>
        <v>183</v>
      </c>
      <c r="C10" t="e">
        <f ca="1">"&lt;-- "&amp;_xlfn.FORMULATEXT(B10)</f>
        <v>#NAME?</v>
      </c>
      <c r="F10" t="s">
        <v>315</v>
      </c>
      <c r="G10" s="12">
        <f>B6</f>
        <v>3125</v>
      </c>
    </row>
    <row r="11" spans="1:7" x14ac:dyDescent="0.2">
      <c r="A11" t="s">
        <v>91</v>
      </c>
      <c r="B11" s="22">
        <f>B9/B10*B6</f>
        <v>3125</v>
      </c>
      <c r="C11" t="e">
        <f ca="1">"&lt;-- "&amp;_xlfn.FORMULATEXT(B11)</f>
        <v>#NAME?</v>
      </c>
      <c r="F11" t="s">
        <v>316</v>
      </c>
      <c r="G11" s="12">
        <f>G10*G6/G7</f>
        <v>1109.9726775956285</v>
      </c>
    </row>
    <row r="12" spans="1:7" x14ac:dyDescent="0.2">
      <c r="A12" t="s">
        <v>92</v>
      </c>
      <c r="B12" s="22">
        <f>B5+B11</f>
        <v>103125</v>
      </c>
      <c r="C12" t="e">
        <f ca="1">"&lt;-- "&amp;_xlfn.FORMULATEXT(B12)</f>
        <v>#NAME?</v>
      </c>
    </row>
    <row r="13" spans="1:7" x14ac:dyDescent="0.2">
      <c r="F13" t="s">
        <v>317</v>
      </c>
      <c r="G13" s="12">
        <f>G11+B5</f>
        <v>101109.97267759562</v>
      </c>
    </row>
    <row r="14" spans="1:7" x14ac:dyDescent="0.2">
      <c r="A14" s="3" t="s">
        <v>14</v>
      </c>
      <c r="B14" s="3" t="s">
        <v>15</v>
      </c>
    </row>
    <row r="15" spans="1:7" x14ac:dyDescent="0.2">
      <c r="A15" s="19">
        <f>C7</f>
        <v>41922</v>
      </c>
      <c r="B15" s="18">
        <f>-B7</f>
        <v>-110445</v>
      </c>
      <c r="C15" t="e">
        <f ca="1">"&lt;-- "&amp;_xlfn.FORMULATEXT(B15)</f>
        <v>#NAME?</v>
      </c>
    </row>
    <row r="16" spans="1:7" x14ac:dyDescent="0.2">
      <c r="A16" s="19">
        <v>41988</v>
      </c>
      <c r="B16" s="12">
        <f>$B$11</f>
        <v>3125</v>
      </c>
      <c r="C16" t="e">
        <f ca="1">"&lt;-- "&amp;_xlfn.FORMULATEXT(B16)</f>
        <v>#NAME?</v>
      </c>
    </row>
    <row r="17" spans="1:3" x14ac:dyDescent="0.2">
      <c r="A17" s="19">
        <v>42170</v>
      </c>
      <c r="B17" s="12">
        <f t="shared" ref="B17:B31" si="0">$B$11</f>
        <v>3125</v>
      </c>
      <c r="C17" s="84" t="e">
        <f ca="1">"&lt;-- "&amp;_xlfn.FORMULATEXT(B17)</f>
        <v>#NAME?</v>
      </c>
    </row>
    <row r="18" spans="1:3" x14ac:dyDescent="0.2">
      <c r="A18" s="19">
        <v>42353</v>
      </c>
      <c r="B18" s="12">
        <f t="shared" si="0"/>
        <v>3125</v>
      </c>
    </row>
    <row r="19" spans="1:3" x14ac:dyDescent="0.2">
      <c r="A19" s="19">
        <v>42536</v>
      </c>
      <c r="B19" s="12">
        <f t="shared" si="0"/>
        <v>3125</v>
      </c>
    </row>
    <row r="20" spans="1:3" x14ac:dyDescent="0.2">
      <c r="A20" s="19">
        <v>42719</v>
      </c>
      <c r="B20" s="12">
        <f t="shared" si="0"/>
        <v>3125</v>
      </c>
    </row>
    <row r="21" spans="1:3" x14ac:dyDescent="0.2">
      <c r="A21" s="19">
        <v>42901</v>
      </c>
      <c r="B21" s="12">
        <f t="shared" si="0"/>
        <v>3125</v>
      </c>
    </row>
    <row r="22" spans="1:3" x14ac:dyDescent="0.2">
      <c r="A22" s="19">
        <v>43084</v>
      </c>
      <c r="B22" s="12">
        <f t="shared" si="0"/>
        <v>3125</v>
      </c>
    </row>
    <row r="23" spans="1:3" x14ac:dyDescent="0.2">
      <c r="A23" s="19">
        <v>43266</v>
      </c>
      <c r="B23" s="12">
        <f t="shared" si="0"/>
        <v>3125</v>
      </c>
    </row>
    <row r="24" spans="1:3" x14ac:dyDescent="0.2">
      <c r="A24" s="19">
        <v>43449</v>
      </c>
      <c r="B24" s="12">
        <f t="shared" si="0"/>
        <v>3125</v>
      </c>
    </row>
    <row r="25" spans="1:3" x14ac:dyDescent="0.2">
      <c r="A25" s="19">
        <v>43631</v>
      </c>
      <c r="B25" s="12">
        <f t="shared" si="0"/>
        <v>3125</v>
      </c>
    </row>
    <row r="26" spans="1:3" x14ac:dyDescent="0.2">
      <c r="A26" s="19">
        <v>43814</v>
      </c>
      <c r="B26" s="12">
        <f t="shared" si="0"/>
        <v>3125</v>
      </c>
    </row>
    <row r="27" spans="1:3" x14ac:dyDescent="0.2">
      <c r="A27" s="19">
        <v>43997</v>
      </c>
      <c r="B27" s="12">
        <f t="shared" si="0"/>
        <v>3125</v>
      </c>
    </row>
    <row r="28" spans="1:3" x14ac:dyDescent="0.2">
      <c r="A28" s="19">
        <v>44180</v>
      </c>
      <c r="B28" s="12">
        <f t="shared" si="0"/>
        <v>3125</v>
      </c>
    </row>
    <row r="29" spans="1:3" x14ac:dyDescent="0.2">
      <c r="A29" s="19">
        <v>44362</v>
      </c>
      <c r="B29" s="12">
        <f t="shared" si="0"/>
        <v>3125</v>
      </c>
    </row>
    <row r="30" spans="1:3" x14ac:dyDescent="0.2">
      <c r="A30" s="19">
        <v>44545</v>
      </c>
      <c r="B30" s="12">
        <f t="shared" si="0"/>
        <v>3125</v>
      </c>
    </row>
    <row r="31" spans="1:3" x14ac:dyDescent="0.2">
      <c r="A31" s="19">
        <v>44727</v>
      </c>
      <c r="B31" s="12">
        <f t="shared" si="0"/>
        <v>3125</v>
      </c>
    </row>
    <row r="32" spans="1:3" x14ac:dyDescent="0.2">
      <c r="A32" s="19">
        <v>44910</v>
      </c>
      <c r="B32" s="12">
        <f>B12</f>
        <v>103125</v>
      </c>
      <c r="C32" t="e">
        <f ca="1">"&lt;-- "&amp;_xlfn.FORMULATEXT(B32)</f>
        <v>#NAME?</v>
      </c>
    </row>
    <row r="34" spans="1:3" x14ac:dyDescent="0.2">
      <c r="A34" s="27" t="s">
        <v>93</v>
      </c>
      <c r="B34" s="29">
        <f>XIRR(B15:B32,A15:A32)</f>
        <v>5.0371113419532793E-2</v>
      </c>
      <c r="C34" t="e">
        <f ca="1">getformula(B34)</f>
        <v>#NAME?</v>
      </c>
    </row>
  </sheetData>
  <mergeCells count="1">
    <mergeCell ref="A1:C1"/>
  </mergeCells>
  <phoneticPr fontId="6" type="noConversion"/>
  <printOptions headings="1" gridLines="1"/>
  <pageMargins left="0.75" right="0.75" top="1" bottom="1" header="0.5" footer="0.5"/>
  <pageSetup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D30"/>
  <sheetViews>
    <sheetView workbookViewId="0">
      <selection sqref="A1:D1"/>
    </sheetView>
  </sheetViews>
  <sheetFormatPr defaultRowHeight="12.75" x14ac:dyDescent="0.2"/>
  <cols>
    <col min="1" max="1" width="26" customWidth="1"/>
    <col min="2" max="2" width="11" customWidth="1"/>
    <col min="3" max="3" width="19.5703125" customWidth="1"/>
    <col min="4" max="4" width="18.7109375" bestFit="1" customWidth="1"/>
  </cols>
  <sheetData>
    <row r="1" spans="1:4" ht="38.25" customHeight="1" x14ac:dyDescent="0.2">
      <c r="A1" s="261" t="s">
        <v>45</v>
      </c>
      <c r="B1" s="261"/>
      <c r="C1" s="261"/>
      <c r="D1" s="261"/>
    </row>
    <row r="2" spans="1:4" x14ac:dyDescent="0.2">
      <c r="A2" s="8" t="s">
        <v>106</v>
      </c>
    </row>
    <row r="3" spans="1:4" x14ac:dyDescent="0.2">
      <c r="A3" t="s">
        <v>36</v>
      </c>
      <c r="B3">
        <v>95</v>
      </c>
    </row>
    <row r="4" spans="1:4" x14ac:dyDescent="0.2">
      <c r="A4" t="s">
        <v>37</v>
      </c>
      <c r="B4">
        <v>100</v>
      </c>
    </row>
    <row r="5" spans="1:4" x14ac:dyDescent="0.2">
      <c r="A5" s="27" t="s">
        <v>38</v>
      </c>
      <c r="B5" s="24">
        <f>B4/B3-1</f>
        <v>5.2631578947368363E-2</v>
      </c>
      <c r="C5" t="e">
        <f ca="1">getformula(B5)</f>
        <v>#NAME?</v>
      </c>
    </row>
    <row r="7" spans="1:4" x14ac:dyDescent="0.2">
      <c r="A7" s="8" t="s">
        <v>44</v>
      </c>
    </row>
    <row r="8" spans="1:4" x14ac:dyDescent="0.2">
      <c r="A8" t="s">
        <v>39</v>
      </c>
      <c r="B8">
        <v>99</v>
      </c>
    </row>
    <row r="9" spans="1:4" x14ac:dyDescent="0.2">
      <c r="A9" t="s">
        <v>40</v>
      </c>
      <c r="B9">
        <v>110</v>
      </c>
    </row>
    <row r="10" spans="1:4" x14ac:dyDescent="0.2">
      <c r="A10" s="27" t="s">
        <v>38</v>
      </c>
      <c r="B10" s="24">
        <f>(B9/B8)^(1/2)-1</f>
        <v>5.4092553389459841E-2</v>
      </c>
      <c r="C10" t="e">
        <f ca="1">getformula(B10)</f>
        <v>#NAME?</v>
      </c>
    </row>
    <row r="12" spans="1:4" x14ac:dyDescent="0.2">
      <c r="A12" s="8" t="s">
        <v>43</v>
      </c>
    </row>
    <row r="13" spans="1:4" x14ac:dyDescent="0.2">
      <c r="A13" t="s">
        <v>39</v>
      </c>
      <c r="B13">
        <v>101</v>
      </c>
    </row>
    <row r="14" spans="1:4" x14ac:dyDescent="0.2">
      <c r="A14" t="s">
        <v>107</v>
      </c>
      <c r="B14">
        <v>122</v>
      </c>
    </row>
    <row r="15" spans="1:4" x14ac:dyDescent="0.2">
      <c r="A15" s="27" t="s">
        <v>38</v>
      </c>
      <c r="B15" s="24">
        <f>(B14/B13)^(1/3)-1</f>
        <v>6.4991526328490812E-2</v>
      </c>
      <c r="C15" t="e">
        <f ca="1">getformula(B15)</f>
        <v>#NAME?</v>
      </c>
    </row>
    <row r="17" spans="1:4" x14ac:dyDescent="0.2">
      <c r="A17" s="8" t="s">
        <v>46</v>
      </c>
    </row>
    <row r="18" spans="1:4" ht="25.5" x14ac:dyDescent="0.2">
      <c r="A18" s="3" t="s">
        <v>14</v>
      </c>
      <c r="B18" s="4" t="s">
        <v>41</v>
      </c>
      <c r="C18" s="4" t="s">
        <v>42</v>
      </c>
    </row>
    <row r="19" spans="1:4" x14ac:dyDescent="0.2">
      <c r="A19" s="15">
        <v>1</v>
      </c>
      <c r="B19" s="9">
        <v>50</v>
      </c>
      <c r="C19" s="18">
        <f>B19/(1+B5)</f>
        <v>47.5</v>
      </c>
      <c r="D19" s="20" t="e">
        <f ca="1">getformula(C19)</f>
        <v>#NAME?</v>
      </c>
    </row>
    <row r="20" spans="1:4" x14ac:dyDescent="0.2">
      <c r="A20" s="15">
        <v>2</v>
      </c>
      <c r="B20" s="9">
        <v>50</v>
      </c>
      <c r="C20" s="18">
        <f>B20/(1+B10)^2</f>
        <v>45</v>
      </c>
      <c r="D20" s="20" t="e">
        <f ca="1">getformula(C20)</f>
        <v>#NAME?</v>
      </c>
    </row>
    <row r="21" spans="1:4" x14ac:dyDescent="0.2">
      <c r="A21" s="15">
        <v>3</v>
      </c>
      <c r="B21" s="9">
        <v>1050</v>
      </c>
      <c r="C21" s="18">
        <f>B21/(1+B15)^3</f>
        <v>869.26229508196741</v>
      </c>
      <c r="D21" s="20" t="e">
        <f ca="1">getformula(C21)</f>
        <v>#NAME?</v>
      </c>
    </row>
    <row r="22" spans="1:4" x14ac:dyDescent="0.2">
      <c r="A22" s="44" t="s">
        <v>34</v>
      </c>
      <c r="B22" s="27"/>
      <c r="C22" s="33">
        <f>SUM(C19:C21)</f>
        <v>961.76229508196741</v>
      </c>
      <c r="D22" s="20" t="e">
        <f ca="1">getformula(C22)</f>
        <v>#NAME?</v>
      </c>
    </row>
    <row r="24" spans="1:4" x14ac:dyDescent="0.2">
      <c r="A24" s="266" t="s">
        <v>47</v>
      </c>
      <c r="B24" s="266"/>
      <c r="C24" s="266"/>
    </row>
    <row r="25" spans="1:4" x14ac:dyDescent="0.2">
      <c r="A25" s="15" t="s">
        <v>14</v>
      </c>
      <c r="B25" s="4" t="s">
        <v>41</v>
      </c>
    </row>
    <row r="26" spans="1:4" x14ac:dyDescent="0.2">
      <c r="A26" s="15">
        <v>0</v>
      </c>
      <c r="B26" s="12">
        <f>-C22</f>
        <v>-961.76229508196741</v>
      </c>
      <c r="C26" s="18"/>
    </row>
    <row r="27" spans="1:4" x14ac:dyDescent="0.2">
      <c r="A27" s="15">
        <v>1</v>
      </c>
      <c r="B27" s="12">
        <v>50</v>
      </c>
    </row>
    <row r="28" spans="1:4" x14ac:dyDescent="0.2">
      <c r="A28" s="15">
        <v>2</v>
      </c>
      <c r="B28" s="12">
        <v>50</v>
      </c>
    </row>
    <row r="29" spans="1:4" x14ac:dyDescent="0.2">
      <c r="A29" s="15">
        <v>3</v>
      </c>
      <c r="B29" s="12">
        <v>1050</v>
      </c>
    </row>
    <row r="30" spans="1:4" x14ac:dyDescent="0.2">
      <c r="A30" s="27" t="s">
        <v>48</v>
      </c>
      <c r="B30" s="21">
        <f>IRR(B26:B29)</f>
        <v>6.4422296189038608E-2</v>
      </c>
      <c r="C30" s="11" t="e">
        <f ca="1">getformula(B30)</f>
        <v>#NAME?</v>
      </c>
    </row>
  </sheetData>
  <mergeCells count="2">
    <mergeCell ref="A1:D1"/>
    <mergeCell ref="A24:C24"/>
  </mergeCells>
  <phoneticPr fontId="6" type="noConversion"/>
  <printOptions headings="1" gridLines="1"/>
  <pageMargins left="0.75" right="0.75" top="1" bottom="1" header="0.5" footer="0.5"/>
  <pageSetup orientation="portrait" r:id="rId1"/>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dimension ref="A1:AA366"/>
  <sheetViews>
    <sheetView workbookViewId="0">
      <selection activeCell="L6" sqref="L6"/>
    </sheetView>
  </sheetViews>
  <sheetFormatPr defaultRowHeight="12.75" x14ac:dyDescent="0.2"/>
  <cols>
    <col min="1" max="1" width="15.7109375" customWidth="1"/>
    <col min="2" max="2" width="9" bestFit="1" customWidth="1"/>
    <col min="3" max="3" width="8.140625" bestFit="1" customWidth="1"/>
    <col min="4" max="4" width="12.140625" bestFit="1" customWidth="1"/>
    <col min="6" max="6" width="23.7109375" bestFit="1" customWidth="1"/>
    <col min="15" max="15" width="15.85546875" bestFit="1" customWidth="1"/>
    <col min="26" max="26" width="13" bestFit="1" customWidth="1"/>
    <col min="27" max="27" width="16" bestFit="1" customWidth="1"/>
  </cols>
  <sheetData>
    <row r="1" spans="1:27" ht="18" x14ac:dyDescent="0.2">
      <c r="A1" s="267" t="s">
        <v>30</v>
      </c>
      <c r="B1" s="267"/>
      <c r="C1" s="267"/>
      <c r="D1" s="267"/>
      <c r="E1" s="267"/>
      <c r="F1" s="267"/>
      <c r="S1" s="136" t="s">
        <v>321</v>
      </c>
      <c r="X1" t="s">
        <v>155</v>
      </c>
      <c r="Y1" s="110" t="s">
        <v>333</v>
      </c>
    </row>
    <row r="2" spans="1:27" x14ac:dyDescent="0.2">
      <c r="A2" s="72" t="s">
        <v>31</v>
      </c>
      <c r="B2" s="76">
        <v>41926</v>
      </c>
      <c r="C2" s="72"/>
      <c r="D2" s="72"/>
      <c r="E2" s="72"/>
      <c r="F2" s="72"/>
      <c r="S2" s="137" t="s">
        <v>322</v>
      </c>
    </row>
    <row r="3" spans="1:27" ht="13.5" thickBot="1" x14ac:dyDescent="0.25">
      <c r="S3" s="138" t="s">
        <v>323</v>
      </c>
    </row>
    <row r="4" spans="1:27" s="28" customFormat="1" ht="39" thickBot="1" x14ac:dyDescent="0.25">
      <c r="A4" s="77" t="s">
        <v>32</v>
      </c>
      <c r="B4" s="74" t="s">
        <v>33</v>
      </c>
      <c r="C4" s="77" t="s">
        <v>94</v>
      </c>
      <c r="D4" s="77"/>
      <c r="E4" s="77" t="s">
        <v>110</v>
      </c>
      <c r="F4" s="77"/>
      <c r="S4" s="139" t="s">
        <v>324</v>
      </c>
      <c r="T4"/>
      <c r="U4"/>
      <c r="V4"/>
      <c r="W4"/>
    </row>
    <row r="5" spans="1:27" ht="13.5" thickBot="1" x14ac:dyDescent="0.25">
      <c r="A5" s="76">
        <f>Z8</f>
        <v>41958</v>
      </c>
      <c r="B5" s="161">
        <f>AA8</f>
        <v>99.998500000000007</v>
      </c>
      <c r="C5" s="162">
        <f>A5-$B$2</f>
        <v>32</v>
      </c>
      <c r="D5" s="72" t="e">
        <f ca="1">getformula(C5)</f>
        <v>#NAME?</v>
      </c>
      <c r="E5" s="78">
        <f>(100/B5)^(365/C5)-1</f>
        <v>1.7110967080413708E-4</v>
      </c>
      <c r="F5" s="72" t="e">
        <f ca="1">getformula(E5)</f>
        <v>#NAME?</v>
      </c>
      <c r="S5" s="140" t="s">
        <v>325</v>
      </c>
    </row>
    <row r="6" spans="1:27" x14ac:dyDescent="0.2">
      <c r="A6" s="76">
        <f t="shared" ref="A6:A69" si="0">Z9</f>
        <v>41988</v>
      </c>
      <c r="B6" s="161">
        <f t="shared" ref="B6:B69" si="1">AA9</f>
        <v>99.993500000000012</v>
      </c>
      <c r="C6" s="162">
        <f t="shared" ref="C6:C64" si="2">A6-$B$2</f>
        <v>62</v>
      </c>
      <c r="D6" s="72" t="e">
        <f t="shared" ref="D6" ca="1" si="3">getformula(C6)</f>
        <v>#NAME?</v>
      </c>
      <c r="E6" s="78">
        <f t="shared" ref="E6:E64" si="4">(100/B6)^(365/C6)-1</f>
        <v>3.8274695628448541E-4</v>
      </c>
      <c r="F6" s="72"/>
      <c r="S6" s="268" t="s">
        <v>32</v>
      </c>
      <c r="T6" s="270" t="s">
        <v>326</v>
      </c>
      <c r="U6" s="270" t="s">
        <v>327</v>
      </c>
      <c r="V6" s="270" t="s">
        <v>328</v>
      </c>
      <c r="W6" s="141" t="s">
        <v>327</v>
      </c>
    </row>
    <row r="7" spans="1:27" ht="13.5" thickBot="1" x14ac:dyDescent="0.25">
      <c r="A7" s="76">
        <f t="shared" si="0"/>
        <v>42004</v>
      </c>
      <c r="B7" s="161">
        <f t="shared" si="1"/>
        <v>99.989000000000004</v>
      </c>
      <c r="C7" s="162">
        <f t="shared" si="2"/>
        <v>78</v>
      </c>
      <c r="D7" s="72"/>
      <c r="E7" s="78">
        <f t="shared" si="4"/>
        <v>5.1490442051083107E-4</v>
      </c>
      <c r="F7" s="72"/>
      <c r="S7" s="269"/>
      <c r="T7" s="271"/>
      <c r="U7" s="271"/>
      <c r="V7" s="271"/>
      <c r="W7" s="142" t="s">
        <v>329</v>
      </c>
      <c r="Z7" s="158" t="s">
        <v>334</v>
      </c>
      <c r="AA7" t="s">
        <v>337</v>
      </c>
    </row>
    <row r="8" spans="1:27" ht="12.95" customHeight="1" thickBot="1" x14ac:dyDescent="0.25">
      <c r="A8" s="76">
        <f t="shared" si="0"/>
        <v>42019</v>
      </c>
      <c r="B8" s="161">
        <f t="shared" si="1"/>
        <v>99.994</v>
      </c>
      <c r="C8" s="162">
        <f t="shared" si="2"/>
        <v>93</v>
      </c>
      <c r="D8" s="72"/>
      <c r="E8" s="78">
        <f t="shared" si="4"/>
        <v>2.3551866593374271E-4</v>
      </c>
      <c r="F8" s="72"/>
      <c r="N8" s="79" t="s">
        <v>111</v>
      </c>
      <c r="O8" s="199">
        <f>A5</f>
        <v>41958</v>
      </c>
      <c r="S8" s="152">
        <v>41958</v>
      </c>
      <c r="T8" s="154">
        <v>99.998999999999995</v>
      </c>
      <c r="U8" s="154">
        <v>100</v>
      </c>
      <c r="V8" s="155">
        <v>3.0000000000000001E-3</v>
      </c>
      <c r="W8" s="156">
        <v>0</v>
      </c>
      <c r="Z8" s="159">
        <v>41958</v>
      </c>
      <c r="AA8" s="40">
        <v>99.998500000000007</v>
      </c>
    </row>
    <row r="9" spans="1:27" ht="13.5" thickBot="1" x14ac:dyDescent="0.25">
      <c r="A9" s="76">
        <f t="shared" si="0"/>
        <v>42050</v>
      </c>
      <c r="B9" s="161">
        <f t="shared" si="1"/>
        <v>99.991500000000002</v>
      </c>
      <c r="C9" s="162">
        <f t="shared" si="2"/>
        <v>124</v>
      </c>
      <c r="D9" s="72"/>
      <c r="E9" s="78">
        <f t="shared" si="4"/>
        <v>2.5024355276981325E-4</v>
      </c>
      <c r="F9" s="72"/>
      <c r="N9" s="79" t="s">
        <v>112</v>
      </c>
      <c r="O9" s="199">
        <f>A187</f>
        <v>52732</v>
      </c>
      <c r="S9" s="151">
        <v>41958</v>
      </c>
      <c r="T9" s="146">
        <v>99.995999999999995</v>
      </c>
      <c r="U9" s="146">
        <v>99.997</v>
      </c>
      <c r="V9" s="146" t="s">
        <v>330</v>
      </c>
      <c r="W9" s="147">
        <v>0.04</v>
      </c>
      <c r="Z9" s="159">
        <v>41988</v>
      </c>
      <c r="AA9" s="40">
        <v>99.993500000000012</v>
      </c>
    </row>
    <row r="10" spans="1:27" ht="13.5" thickBot="1" x14ac:dyDescent="0.25">
      <c r="A10" s="76">
        <f t="shared" si="0"/>
        <v>42078</v>
      </c>
      <c r="B10" s="161">
        <f t="shared" si="1"/>
        <v>99.975499999999997</v>
      </c>
      <c r="C10" s="162">
        <f t="shared" si="2"/>
        <v>152</v>
      </c>
      <c r="D10" s="72"/>
      <c r="E10" s="78">
        <f t="shared" si="4"/>
        <v>5.8856758765490902E-4</v>
      </c>
      <c r="F10" s="72"/>
      <c r="S10" s="151">
        <v>41988</v>
      </c>
      <c r="T10" s="146">
        <v>99.992999999999995</v>
      </c>
      <c r="U10" s="146">
        <v>99.995000000000005</v>
      </c>
      <c r="V10" s="146" t="s">
        <v>330</v>
      </c>
      <c r="W10" s="147">
        <v>0.03</v>
      </c>
      <c r="Z10" s="159">
        <v>42004</v>
      </c>
      <c r="AA10" s="40">
        <v>99.989000000000004</v>
      </c>
    </row>
    <row r="11" spans="1:27" ht="13.5" thickBot="1" x14ac:dyDescent="0.25">
      <c r="A11" s="76">
        <f t="shared" si="0"/>
        <v>42109</v>
      </c>
      <c r="B11" s="161">
        <f t="shared" si="1"/>
        <v>99.965499999999992</v>
      </c>
      <c r="C11" s="163">
        <f t="shared" si="2"/>
        <v>183</v>
      </c>
      <c r="D11" s="82"/>
      <c r="E11" s="83">
        <f t="shared" si="4"/>
        <v>6.8847036820551821E-4</v>
      </c>
      <c r="F11" s="72" t="e">
        <f ca="1">getformula(E11)</f>
        <v>#NAME?</v>
      </c>
      <c r="S11" s="151">
        <v>41988</v>
      </c>
      <c r="T11" s="146">
        <v>99.99</v>
      </c>
      <c r="U11" s="146">
        <v>99.992000000000004</v>
      </c>
      <c r="V11" s="146" t="s">
        <v>330</v>
      </c>
      <c r="W11" s="147">
        <v>0.05</v>
      </c>
      <c r="Z11" s="159">
        <v>42019</v>
      </c>
      <c r="AA11" s="40">
        <v>99.994</v>
      </c>
    </row>
    <row r="12" spans="1:27" ht="13.5" thickBot="1" x14ac:dyDescent="0.25">
      <c r="A12" s="76">
        <f t="shared" si="0"/>
        <v>42139</v>
      </c>
      <c r="B12" s="161">
        <f t="shared" si="1"/>
        <v>99.971000000000004</v>
      </c>
      <c r="C12" s="162">
        <f t="shared" si="2"/>
        <v>213</v>
      </c>
      <c r="D12" s="72"/>
      <c r="E12" s="78">
        <f t="shared" si="4"/>
        <v>4.97143963372082E-4</v>
      </c>
      <c r="F12" s="72"/>
      <c r="S12" s="151">
        <v>42004</v>
      </c>
      <c r="T12" s="146">
        <v>99.986999999999995</v>
      </c>
      <c r="U12" s="146">
        <v>99.989000000000004</v>
      </c>
      <c r="V12" s="146" t="s">
        <v>330</v>
      </c>
      <c r="W12" s="147">
        <v>0.05</v>
      </c>
      <c r="Z12" s="159">
        <v>42050</v>
      </c>
      <c r="AA12" s="40">
        <v>99.991500000000002</v>
      </c>
    </row>
    <row r="13" spans="1:27" ht="13.5" thickBot="1" x14ac:dyDescent="0.25">
      <c r="A13" s="76">
        <f t="shared" si="0"/>
        <v>42155</v>
      </c>
      <c r="B13" s="161">
        <f t="shared" si="1"/>
        <v>99.965999999999994</v>
      </c>
      <c r="C13" s="162">
        <f t="shared" si="2"/>
        <v>229</v>
      </c>
      <c r="D13" s="72"/>
      <c r="E13" s="78">
        <f t="shared" si="4"/>
        <v>5.4216046078869873E-4</v>
      </c>
      <c r="F13" s="72"/>
      <c r="S13" s="151">
        <v>42019</v>
      </c>
      <c r="T13" s="146">
        <v>99.991</v>
      </c>
      <c r="U13" s="146">
        <v>99.992999999999995</v>
      </c>
      <c r="V13" s="149">
        <v>-2E-3</v>
      </c>
      <c r="W13" s="147">
        <v>0.03</v>
      </c>
      <c r="Z13" s="159">
        <v>42078</v>
      </c>
      <c r="AA13" s="40">
        <v>99.975499999999997</v>
      </c>
    </row>
    <row r="14" spans="1:27" ht="13.5" thickBot="1" x14ac:dyDescent="0.25">
      <c r="A14" s="76">
        <f t="shared" si="0"/>
        <v>42170</v>
      </c>
      <c r="B14" s="161">
        <f t="shared" si="1"/>
        <v>99.947000000000003</v>
      </c>
      <c r="C14" s="162">
        <f t="shared" si="2"/>
        <v>244</v>
      </c>
      <c r="D14" s="72"/>
      <c r="E14" s="78">
        <f t="shared" si="4"/>
        <v>7.933525803121011E-4</v>
      </c>
      <c r="F14" s="72"/>
      <c r="S14" s="151">
        <v>42019</v>
      </c>
      <c r="T14" s="146">
        <v>99.992999999999995</v>
      </c>
      <c r="U14" s="146">
        <v>99.995000000000005</v>
      </c>
      <c r="V14" s="146" t="s">
        <v>330</v>
      </c>
      <c r="W14" s="147">
        <v>0.02</v>
      </c>
      <c r="Z14" s="159">
        <v>42109</v>
      </c>
      <c r="AA14" s="40">
        <v>99.965499999999992</v>
      </c>
    </row>
    <row r="15" spans="1:27" ht="13.5" thickBot="1" x14ac:dyDescent="0.25">
      <c r="A15" s="76">
        <f t="shared" si="0"/>
        <v>42185</v>
      </c>
      <c r="B15" s="161">
        <f t="shared" si="1"/>
        <v>99.9435</v>
      </c>
      <c r="C15" s="162">
        <f t="shared" si="2"/>
        <v>259</v>
      </c>
      <c r="D15" s="72"/>
      <c r="E15" s="78">
        <f t="shared" si="4"/>
        <v>7.9677780145259725E-4</v>
      </c>
      <c r="F15" s="72"/>
      <c r="S15" s="151">
        <v>42050</v>
      </c>
      <c r="T15" s="146">
        <v>99.988</v>
      </c>
      <c r="U15" s="146">
        <v>99.992000000000004</v>
      </c>
      <c r="V15" s="146" t="s">
        <v>330</v>
      </c>
      <c r="W15" s="147">
        <v>0.03</v>
      </c>
      <c r="Z15" s="159">
        <v>42139</v>
      </c>
      <c r="AA15" s="40">
        <v>99.971000000000004</v>
      </c>
    </row>
    <row r="16" spans="1:27" ht="13.5" thickBot="1" x14ac:dyDescent="0.25">
      <c r="A16" s="76">
        <f t="shared" si="0"/>
        <v>42200</v>
      </c>
      <c r="B16" s="161">
        <f t="shared" si="1"/>
        <v>99.923000000000002</v>
      </c>
      <c r="C16" s="162">
        <f t="shared" si="2"/>
        <v>274</v>
      </c>
      <c r="D16" s="72"/>
      <c r="E16" s="78">
        <f t="shared" si="4"/>
        <v>1.0266516822787786E-3</v>
      </c>
      <c r="F16" s="72"/>
      <c r="S16" s="151">
        <v>42050</v>
      </c>
      <c r="T16" s="146">
        <v>99.986999999999995</v>
      </c>
      <c r="U16" s="146">
        <v>99.99</v>
      </c>
      <c r="V16" s="146" t="s">
        <v>330</v>
      </c>
      <c r="W16" s="147">
        <v>0.03</v>
      </c>
      <c r="Z16" s="159">
        <v>42155</v>
      </c>
      <c r="AA16" s="40">
        <v>99.965999999999994</v>
      </c>
    </row>
    <row r="17" spans="1:27" ht="13.5" thickBot="1" x14ac:dyDescent="0.25">
      <c r="A17" s="76">
        <f t="shared" si="0"/>
        <v>42216</v>
      </c>
      <c r="B17" s="161">
        <f t="shared" si="1"/>
        <v>99.950999999999993</v>
      </c>
      <c r="C17" s="162">
        <f t="shared" si="2"/>
        <v>290</v>
      </c>
      <c r="D17" s="72"/>
      <c r="E17" s="78">
        <f t="shared" si="4"/>
        <v>6.1706559140972672E-4</v>
      </c>
      <c r="F17" s="72"/>
      <c r="S17" s="151">
        <v>42050</v>
      </c>
      <c r="T17" s="146">
        <v>99.989000000000004</v>
      </c>
      <c r="U17" s="146">
        <v>99.992000000000004</v>
      </c>
      <c r="V17" s="148">
        <v>2E-3</v>
      </c>
      <c r="W17" s="147">
        <v>0.02</v>
      </c>
      <c r="Z17" s="159">
        <v>42170</v>
      </c>
      <c r="AA17" s="40">
        <v>99.947000000000003</v>
      </c>
    </row>
    <row r="18" spans="1:27" ht="13.5" thickBot="1" x14ac:dyDescent="0.25">
      <c r="A18" s="76">
        <f t="shared" si="0"/>
        <v>42231</v>
      </c>
      <c r="B18" s="161">
        <f t="shared" si="1"/>
        <v>99.932666666666663</v>
      </c>
      <c r="C18" s="162">
        <f t="shared" si="2"/>
        <v>305</v>
      </c>
      <c r="D18" s="72"/>
      <c r="E18" s="78">
        <f t="shared" si="4"/>
        <v>8.0638871168337012E-4</v>
      </c>
      <c r="F18" s="72"/>
      <c r="S18" s="151">
        <v>42050</v>
      </c>
      <c r="T18" s="146">
        <v>99.988</v>
      </c>
      <c r="U18" s="146">
        <v>99.992000000000004</v>
      </c>
      <c r="V18" s="146" t="s">
        <v>330</v>
      </c>
      <c r="W18" s="147">
        <v>0.03</v>
      </c>
      <c r="Z18" s="159">
        <v>42185</v>
      </c>
      <c r="AA18" s="40">
        <v>99.9435</v>
      </c>
    </row>
    <row r="19" spans="1:27" ht="13.5" thickBot="1" x14ac:dyDescent="0.25">
      <c r="A19" s="76">
        <f t="shared" si="0"/>
        <v>42247</v>
      </c>
      <c r="B19" s="161">
        <f t="shared" si="1"/>
        <v>99.935000000000002</v>
      </c>
      <c r="C19" s="162">
        <f t="shared" si="2"/>
        <v>321</v>
      </c>
      <c r="D19" s="72"/>
      <c r="E19" s="78">
        <f t="shared" si="4"/>
        <v>7.3961026061741819E-4</v>
      </c>
      <c r="F19" s="72"/>
      <c r="S19" s="151">
        <v>42078</v>
      </c>
      <c r="T19" s="146">
        <v>99.977999999999994</v>
      </c>
      <c r="U19" s="146">
        <v>99.981999999999999</v>
      </c>
      <c r="V19" s="149">
        <v>-1E-3</v>
      </c>
      <c r="W19" s="147">
        <v>0.04</v>
      </c>
      <c r="Z19" s="159">
        <v>42200</v>
      </c>
      <c r="AA19" s="40">
        <v>99.923000000000002</v>
      </c>
    </row>
    <row r="20" spans="1:27" ht="13.5" thickBot="1" x14ac:dyDescent="0.25">
      <c r="A20" s="76">
        <f t="shared" si="0"/>
        <v>42262</v>
      </c>
      <c r="B20" s="161">
        <f t="shared" si="1"/>
        <v>99.908500000000004</v>
      </c>
      <c r="C20" s="162">
        <f t="shared" si="2"/>
        <v>336</v>
      </c>
      <c r="D20" s="72"/>
      <c r="E20" s="78">
        <f t="shared" si="4"/>
        <v>9.9492284230873196E-4</v>
      </c>
      <c r="F20" s="72"/>
      <c r="S20" s="151">
        <v>42078</v>
      </c>
      <c r="T20" s="146">
        <v>99.965000000000003</v>
      </c>
      <c r="U20" s="146">
        <v>99.968999999999994</v>
      </c>
      <c r="V20" s="148">
        <v>1E-3</v>
      </c>
      <c r="W20" s="147">
        <v>0.08</v>
      </c>
      <c r="Z20" s="159">
        <v>42216</v>
      </c>
      <c r="AA20" s="40">
        <v>99.950999999999993</v>
      </c>
    </row>
    <row r="21" spans="1:27" ht="13.5" thickBot="1" x14ac:dyDescent="0.25">
      <c r="A21" s="76">
        <f t="shared" si="0"/>
        <v>42277</v>
      </c>
      <c r="B21" s="161">
        <f t="shared" si="1"/>
        <v>99.917000000000002</v>
      </c>
      <c r="C21" s="162">
        <f t="shared" si="2"/>
        <v>351</v>
      </c>
      <c r="D21" s="72"/>
      <c r="E21" s="78">
        <f t="shared" si="4"/>
        <v>8.6383669235878813E-4</v>
      </c>
      <c r="F21" s="72"/>
      <c r="S21" s="151">
        <v>42109</v>
      </c>
      <c r="T21" s="146">
        <v>99.972999999999999</v>
      </c>
      <c r="U21" s="146">
        <v>99.977999999999994</v>
      </c>
      <c r="V21" s="149">
        <v>-2E-3</v>
      </c>
      <c r="W21" s="147">
        <v>0.05</v>
      </c>
      <c r="Z21" s="159">
        <v>42231</v>
      </c>
      <c r="AA21" s="40">
        <v>99.932666666666663</v>
      </c>
    </row>
    <row r="22" spans="1:27" ht="13.5" thickBot="1" x14ac:dyDescent="0.25">
      <c r="A22" s="76">
        <f t="shared" si="0"/>
        <v>42292</v>
      </c>
      <c r="B22" s="161">
        <f t="shared" si="1"/>
        <v>99.897500000000008</v>
      </c>
      <c r="C22" s="162">
        <f t="shared" si="2"/>
        <v>366</v>
      </c>
      <c r="D22" s="72"/>
      <c r="E22" s="78">
        <f t="shared" si="4"/>
        <v>1.0232468492361591E-3</v>
      </c>
      <c r="F22" s="72"/>
      <c r="S22" s="151">
        <v>42109</v>
      </c>
      <c r="T22" s="146">
        <v>99.947999999999993</v>
      </c>
      <c r="U22" s="146">
        <v>99.953000000000003</v>
      </c>
      <c r="V22" s="148">
        <v>1E-3</v>
      </c>
      <c r="W22" s="147">
        <v>0.09</v>
      </c>
      <c r="Z22" s="159">
        <v>42247</v>
      </c>
      <c r="AA22" s="40">
        <v>99.935000000000002</v>
      </c>
    </row>
    <row r="23" spans="1:27" ht="13.5" thickBot="1" x14ac:dyDescent="0.25">
      <c r="A23" s="76">
        <f t="shared" si="0"/>
        <v>42308</v>
      </c>
      <c r="B23" s="161">
        <f t="shared" si="1"/>
        <v>99.888999999999996</v>
      </c>
      <c r="C23" s="162">
        <f t="shared" si="2"/>
        <v>382</v>
      </c>
      <c r="D23" s="72"/>
      <c r="E23" s="78">
        <f t="shared" si="4"/>
        <v>1.0617544269244661E-3</v>
      </c>
      <c r="F23" s="72"/>
      <c r="S23" s="151">
        <v>42139</v>
      </c>
      <c r="T23" s="146">
        <v>99.962999999999994</v>
      </c>
      <c r="U23" s="146">
        <v>99.968000000000004</v>
      </c>
      <c r="V23" s="149">
        <v>-8.0000000000000002E-3</v>
      </c>
      <c r="W23" s="147">
        <v>0.05</v>
      </c>
      <c r="Z23" s="159">
        <v>42262</v>
      </c>
      <c r="AA23" s="40">
        <v>99.908500000000004</v>
      </c>
    </row>
    <row r="24" spans="1:27" ht="13.5" thickBot="1" x14ac:dyDescent="0.25">
      <c r="A24" s="76">
        <f t="shared" si="0"/>
        <v>42323</v>
      </c>
      <c r="B24" s="161">
        <f t="shared" si="1"/>
        <v>99.867666666666651</v>
      </c>
      <c r="C24" s="162">
        <f t="shared" si="2"/>
        <v>397</v>
      </c>
      <c r="D24" s="72"/>
      <c r="E24" s="78">
        <f t="shared" si="4"/>
        <v>1.2182138257483821E-3</v>
      </c>
      <c r="F24" s="72"/>
      <c r="S24" s="151">
        <v>42139</v>
      </c>
      <c r="T24" s="146">
        <v>99.968000000000004</v>
      </c>
      <c r="U24" s="146">
        <v>99.974000000000004</v>
      </c>
      <c r="V24" s="146" t="s">
        <v>330</v>
      </c>
      <c r="W24" s="147">
        <v>0.05</v>
      </c>
      <c r="Z24" s="159">
        <v>42277</v>
      </c>
      <c r="AA24" s="40">
        <v>99.917000000000002</v>
      </c>
    </row>
    <row r="25" spans="1:27" ht="13.5" thickBot="1" x14ac:dyDescent="0.25">
      <c r="A25" s="76">
        <f t="shared" si="0"/>
        <v>42338</v>
      </c>
      <c r="B25" s="161">
        <f t="shared" si="1"/>
        <v>99.852000000000004</v>
      </c>
      <c r="C25" s="162">
        <f t="shared" si="2"/>
        <v>412</v>
      </c>
      <c r="D25" s="72"/>
      <c r="E25" s="78">
        <f t="shared" si="4"/>
        <v>1.3129974965044866E-3</v>
      </c>
      <c r="F25" s="72"/>
      <c r="S25" s="151">
        <v>42155</v>
      </c>
      <c r="T25" s="146">
        <v>99.959000000000003</v>
      </c>
      <c r="U25" s="146">
        <v>99.965999999999994</v>
      </c>
      <c r="V25" s="146" t="s">
        <v>330</v>
      </c>
      <c r="W25" s="147">
        <v>0.05</v>
      </c>
      <c r="Z25" s="159">
        <v>42292</v>
      </c>
      <c r="AA25" s="40">
        <v>99.897500000000008</v>
      </c>
    </row>
    <row r="26" spans="1:27" ht="13.5" thickBot="1" x14ac:dyDescent="0.25">
      <c r="A26" s="76">
        <f t="shared" si="0"/>
        <v>42353</v>
      </c>
      <c r="B26" s="161">
        <f t="shared" si="1"/>
        <v>99.834000000000003</v>
      </c>
      <c r="C26" s="162">
        <f t="shared" si="2"/>
        <v>427</v>
      </c>
      <c r="D26" s="72"/>
      <c r="E26" s="78">
        <f t="shared" si="4"/>
        <v>1.4211574933253868E-3</v>
      </c>
      <c r="F26" s="72"/>
      <c r="S26" s="151">
        <v>42170</v>
      </c>
      <c r="T26" s="146">
        <v>99.95</v>
      </c>
      <c r="U26" s="146">
        <v>99.956999999999994</v>
      </c>
      <c r="V26" s="148">
        <v>2E-3</v>
      </c>
      <c r="W26" s="147">
        <v>0.06</v>
      </c>
      <c r="Z26" s="159">
        <v>42308</v>
      </c>
      <c r="AA26" s="40">
        <v>99.888999999999996</v>
      </c>
    </row>
    <row r="27" spans="1:27" ht="13.5" thickBot="1" x14ac:dyDescent="0.25">
      <c r="A27" s="76">
        <f t="shared" si="0"/>
        <v>42369</v>
      </c>
      <c r="B27" s="161">
        <f t="shared" si="1"/>
        <v>99.8125</v>
      </c>
      <c r="C27" s="162">
        <f t="shared" si="2"/>
        <v>443</v>
      </c>
      <c r="D27" s="72"/>
      <c r="E27" s="78">
        <f t="shared" si="4"/>
        <v>1.5475108442997154E-3</v>
      </c>
      <c r="F27" s="72"/>
      <c r="S27" s="151">
        <v>42170</v>
      </c>
      <c r="T27" s="146">
        <v>99.93</v>
      </c>
      <c r="U27" s="146">
        <v>99.936999999999998</v>
      </c>
      <c r="V27" s="146" t="s">
        <v>330</v>
      </c>
      <c r="W27" s="147">
        <v>0.09</v>
      </c>
      <c r="Z27" s="159">
        <v>42323</v>
      </c>
      <c r="AA27" s="40">
        <v>99.867666666666651</v>
      </c>
    </row>
    <row r="28" spans="1:27" ht="13.5" thickBot="1" x14ac:dyDescent="0.25">
      <c r="A28" s="76">
        <f t="shared" si="0"/>
        <v>42384</v>
      </c>
      <c r="B28" s="161">
        <f t="shared" si="1"/>
        <v>99.788499999999999</v>
      </c>
      <c r="C28" s="162">
        <f t="shared" si="2"/>
        <v>458</v>
      </c>
      <c r="D28" s="72"/>
      <c r="E28" s="78">
        <f t="shared" si="4"/>
        <v>1.6887442301589672E-3</v>
      </c>
      <c r="F28" s="72"/>
      <c r="S28" s="151">
        <v>42185</v>
      </c>
      <c r="T28" s="146">
        <v>99.947000000000003</v>
      </c>
      <c r="U28" s="146">
        <v>99.953999999999994</v>
      </c>
      <c r="V28" s="149">
        <v>-3.0000000000000001E-3</v>
      </c>
      <c r="W28" s="147">
        <v>0.06</v>
      </c>
      <c r="Z28" s="159">
        <v>42338</v>
      </c>
      <c r="AA28" s="40">
        <v>99.852000000000004</v>
      </c>
    </row>
    <row r="29" spans="1:27" ht="13.5" thickBot="1" x14ac:dyDescent="0.25">
      <c r="A29" s="76">
        <f t="shared" si="0"/>
        <v>42400</v>
      </c>
      <c r="B29" s="161">
        <f t="shared" si="1"/>
        <v>99.77</v>
      </c>
      <c r="C29" s="162">
        <f t="shared" si="2"/>
        <v>474</v>
      </c>
      <c r="D29" s="72"/>
      <c r="E29" s="78">
        <f t="shared" si="4"/>
        <v>1.7747098732863176E-3</v>
      </c>
      <c r="F29" s="72"/>
      <c r="S29" s="151">
        <v>42185</v>
      </c>
      <c r="T29" s="146">
        <v>99.926000000000002</v>
      </c>
      <c r="U29" s="146">
        <v>99.933000000000007</v>
      </c>
      <c r="V29" s="148">
        <v>1E-3</v>
      </c>
      <c r="W29" s="147">
        <v>0.09</v>
      </c>
      <c r="Z29" s="159">
        <v>42353</v>
      </c>
      <c r="AA29" s="40">
        <v>99.834000000000003</v>
      </c>
    </row>
    <row r="30" spans="1:27" ht="13.5" thickBot="1" x14ac:dyDescent="0.25">
      <c r="A30" s="76">
        <f t="shared" si="0"/>
        <v>42415</v>
      </c>
      <c r="B30" s="161">
        <f t="shared" si="1"/>
        <v>99.75366666666666</v>
      </c>
      <c r="C30" s="162">
        <f t="shared" si="2"/>
        <v>489</v>
      </c>
      <c r="D30" s="72"/>
      <c r="E30" s="78">
        <f t="shared" si="4"/>
        <v>1.8426483560012308E-3</v>
      </c>
      <c r="F30" s="72"/>
      <c r="S30" s="151">
        <v>42200</v>
      </c>
      <c r="T30" s="146">
        <v>99.938000000000002</v>
      </c>
      <c r="U30" s="146">
        <v>99.945999999999998</v>
      </c>
      <c r="V30" s="149">
        <v>-2E-3</v>
      </c>
      <c r="W30" s="147">
        <v>7.0000000000000007E-2</v>
      </c>
      <c r="Z30" s="159">
        <v>42369</v>
      </c>
      <c r="AA30" s="40">
        <v>99.8125</v>
      </c>
    </row>
    <row r="31" spans="1:27" ht="13.5" thickBot="1" x14ac:dyDescent="0.25">
      <c r="A31" s="76">
        <f t="shared" si="0"/>
        <v>42444</v>
      </c>
      <c r="B31" s="161">
        <f t="shared" si="1"/>
        <v>99.68549999999999</v>
      </c>
      <c r="C31" s="162">
        <f t="shared" si="2"/>
        <v>518</v>
      </c>
      <c r="D31" s="72"/>
      <c r="E31" s="78">
        <f t="shared" si="4"/>
        <v>2.2220285791405558E-3</v>
      </c>
      <c r="F31" s="72"/>
      <c r="S31" s="151">
        <v>42200</v>
      </c>
      <c r="T31" s="146">
        <v>99.891999999999996</v>
      </c>
      <c r="U31" s="146">
        <v>99.9</v>
      </c>
      <c r="V31" s="148">
        <v>1E-3</v>
      </c>
      <c r="W31" s="147">
        <v>0.13</v>
      </c>
      <c r="Z31" s="159">
        <v>42384</v>
      </c>
      <c r="AA31" s="40">
        <v>99.788499999999999</v>
      </c>
    </row>
    <row r="32" spans="1:27" ht="13.5" thickBot="1" x14ac:dyDescent="0.25">
      <c r="A32" s="76">
        <f t="shared" si="0"/>
        <v>42475</v>
      </c>
      <c r="B32" s="161">
        <f t="shared" si="1"/>
        <v>99.664000000000001</v>
      </c>
      <c r="C32" s="162">
        <f t="shared" si="2"/>
        <v>549</v>
      </c>
      <c r="D32" s="72"/>
      <c r="E32" s="78">
        <f t="shared" si="4"/>
        <v>2.2401465145094335E-3</v>
      </c>
      <c r="F32" s="72"/>
      <c r="S32" s="151">
        <v>42216</v>
      </c>
      <c r="T32" s="146">
        <v>99.942999999999998</v>
      </c>
      <c r="U32" s="146">
        <v>99.950999999999993</v>
      </c>
      <c r="V32" s="146" t="s">
        <v>330</v>
      </c>
      <c r="W32" s="147">
        <v>0.06</v>
      </c>
      <c r="Z32" s="159">
        <v>42400</v>
      </c>
      <c r="AA32" s="40">
        <v>99.77</v>
      </c>
    </row>
    <row r="33" spans="1:27" ht="13.5" thickBot="1" x14ac:dyDescent="0.25">
      <c r="A33" s="76">
        <f t="shared" si="0"/>
        <v>42505</v>
      </c>
      <c r="B33" s="161">
        <f t="shared" si="1"/>
        <v>99.61099999999999</v>
      </c>
      <c r="C33" s="162">
        <f t="shared" si="2"/>
        <v>579</v>
      </c>
      <c r="D33" s="72"/>
      <c r="E33" s="78">
        <f t="shared" si="4"/>
        <v>2.4600482380516819E-3</v>
      </c>
      <c r="F33" s="72"/>
      <c r="S33" s="151">
        <v>42231</v>
      </c>
      <c r="T33" s="146">
        <v>99.927999999999997</v>
      </c>
      <c r="U33" s="146">
        <v>99.936000000000007</v>
      </c>
      <c r="V33" s="148">
        <v>1E-3</v>
      </c>
      <c r="W33" s="147">
        <v>0.08</v>
      </c>
      <c r="Z33" s="159">
        <v>42415</v>
      </c>
      <c r="AA33" s="40">
        <v>99.75366666666666</v>
      </c>
    </row>
    <row r="34" spans="1:27" ht="13.5" thickBot="1" x14ac:dyDescent="0.25">
      <c r="A34" s="76">
        <f t="shared" si="0"/>
        <v>42536</v>
      </c>
      <c r="B34" s="161">
        <f t="shared" si="1"/>
        <v>99.527000000000001</v>
      </c>
      <c r="C34" s="162">
        <f t="shared" si="2"/>
        <v>610</v>
      </c>
      <c r="D34" s="72"/>
      <c r="E34" s="78">
        <f t="shared" si="4"/>
        <v>2.8409885962341619E-3</v>
      </c>
      <c r="F34" s="72"/>
      <c r="S34" s="151">
        <v>42231</v>
      </c>
      <c r="T34" s="146">
        <v>99.918000000000006</v>
      </c>
      <c r="U34" s="146">
        <v>99.926000000000002</v>
      </c>
      <c r="V34" s="149">
        <v>-5.0000000000000001E-3</v>
      </c>
      <c r="W34" s="147">
        <v>0.09</v>
      </c>
      <c r="Z34" s="159">
        <v>42444</v>
      </c>
      <c r="AA34" s="40">
        <v>99.68549999999999</v>
      </c>
    </row>
    <row r="35" spans="1:27" ht="13.5" thickBot="1" x14ac:dyDescent="0.25">
      <c r="A35" s="76">
        <f t="shared" si="0"/>
        <v>42551</v>
      </c>
      <c r="B35" s="161">
        <f t="shared" si="1"/>
        <v>99.486999999999995</v>
      </c>
      <c r="C35" s="162">
        <f t="shared" si="2"/>
        <v>625</v>
      </c>
      <c r="D35" s="72"/>
      <c r="E35" s="78">
        <f t="shared" si="4"/>
        <v>3.0081463365387862E-3</v>
      </c>
      <c r="F35" s="72"/>
      <c r="S35" s="151">
        <v>42231</v>
      </c>
      <c r="T35" s="146">
        <v>99.927999999999997</v>
      </c>
      <c r="U35" s="146">
        <v>99.936000000000007</v>
      </c>
      <c r="V35" s="148">
        <v>1E-3</v>
      </c>
      <c r="W35" s="147">
        <v>0.08</v>
      </c>
      <c r="Z35" s="159">
        <v>42475</v>
      </c>
      <c r="AA35" s="40">
        <v>99.664000000000001</v>
      </c>
    </row>
    <row r="36" spans="1:27" ht="13.5" thickBot="1" x14ac:dyDescent="0.25">
      <c r="A36" s="76">
        <f t="shared" si="0"/>
        <v>42566</v>
      </c>
      <c r="B36" s="161">
        <f t="shared" si="1"/>
        <v>99.369</v>
      </c>
      <c r="C36" s="162">
        <f t="shared" si="2"/>
        <v>640</v>
      </c>
      <c r="D36" s="72"/>
      <c r="E36" s="78">
        <f t="shared" si="4"/>
        <v>3.6165978381450525E-3</v>
      </c>
      <c r="F36" s="72"/>
      <c r="S36" s="151">
        <v>42247</v>
      </c>
      <c r="T36" s="146">
        <v>99.927000000000007</v>
      </c>
      <c r="U36" s="146">
        <v>99.935000000000002</v>
      </c>
      <c r="V36" s="149">
        <v>-5.0000000000000001E-3</v>
      </c>
      <c r="W36" s="147">
        <v>7.0000000000000007E-2</v>
      </c>
      <c r="Z36" s="159">
        <v>42505</v>
      </c>
      <c r="AA36" s="40">
        <v>99.61099999999999</v>
      </c>
    </row>
    <row r="37" spans="1:27" ht="13.5" thickBot="1" x14ac:dyDescent="0.25">
      <c r="A37" s="76">
        <f t="shared" si="0"/>
        <v>42597</v>
      </c>
      <c r="B37" s="161">
        <f t="shared" si="1"/>
        <v>99.353999999999999</v>
      </c>
      <c r="C37" s="162">
        <f t="shared" si="2"/>
        <v>671</v>
      </c>
      <c r="D37" s="72"/>
      <c r="E37" s="78">
        <f t="shared" si="4"/>
        <v>3.5316298714718197E-3</v>
      </c>
      <c r="F37" s="72"/>
      <c r="S37" s="151">
        <v>42262</v>
      </c>
      <c r="T37" s="146">
        <v>99.918999999999997</v>
      </c>
      <c r="U37" s="146">
        <v>99.927999999999997</v>
      </c>
      <c r="V37" s="149">
        <v>-1E-3</v>
      </c>
      <c r="W37" s="147">
        <v>0.08</v>
      </c>
      <c r="Z37" s="159">
        <v>42536</v>
      </c>
      <c r="AA37" s="40">
        <v>99.527000000000001</v>
      </c>
    </row>
    <row r="38" spans="1:27" ht="13.5" thickBot="1" x14ac:dyDescent="0.25">
      <c r="A38" s="76">
        <f t="shared" si="0"/>
        <v>42628</v>
      </c>
      <c r="B38" s="161">
        <f t="shared" si="1"/>
        <v>99.246499999999997</v>
      </c>
      <c r="C38" s="162">
        <f t="shared" si="2"/>
        <v>702</v>
      </c>
      <c r="D38" s="72"/>
      <c r="E38" s="78">
        <f t="shared" si="4"/>
        <v>3.9403482624036368E-3</v>
      </c>
      <c r="F38" s="72"/>
      <c r="S38" s="151">
        <v>42262</v>
      </c>
      <c r="T38" s="146">
        <v>99.88</v>
      </c>
      <c r="U38" s="146">
        <v>99.888999999999996</v>
      </c>
      <c r="V38" s="148">
        <v>1E-3</v>
      </c>
      <c r="W38" s="147">
        <v>0.12</v>
      </c>
      <c r="Z38" s="159">
        <v>42551</v>
      </c>
      <c r="AA38" s="40">
        <v>99.486999999999995</v>
      </c>
    </row>
    <row r="39" spans="1:27" ht="13.5" thickBot="1" x14ac:dyDescent="0.25">
      <c r="A39" s="76">
        <f t="shared" si="0"/>
        <v>42658</v>
      </c>
      <c r="B39" s="161">
        <f t="shared" si="1"/>
        <v>99.091499999999996</v>
      </c>
      <c r="C39" s="162">
        <f t="shared" si="2"/>
        <v>732</v>
      </c>
      <c r="D39" s="72"/>
      <c r="E39" s="78">
        <f t="shared" si="4"/>
        <v>4.5611627956505529E-3</v>
      </c>
      <c r="F39" s="72"/>
      <c r="S39" s="151">
        <v>42277</v>
      </c>
      <c r="T39" s="146">
        <v>99.908000000000001</v>
      </c>
      <c r="U39" s="146">
        <v>99.917000000000002</v>
      </c>
      <c r="V39" s="148">
        <v>6.0000000000000001E-3</v>
      </c>
      <c r="W39" s="147">
        <v>0.09</v>
      </c>
      <c r="Z39" s="159">
        <v>42566</v>
      </c>
      <c r="AA39" s="40">
        <v>99.369</v>
      </c>
    </row>
    <row r="40" spans="1:27" ht="13.5" thickBot="1" x14ac:dyDescent="0.25">
      <c r="A40" s="76">
        <f t="shared" si="0"/>
        <v>42689</v>
      </c>
      <c r="B40" s="161">
        <f t="shared" si="1"/>
        <v>99.049000000000007</v>
      </c>
      <c r="C40" s="162">
        <f t="shared" si="2"/>
        <v>763</v>
      </c>
      <c r="D40" s="72"/>
      <c r="E40" s="78">
        <f t="shared" si="4"/>
        <v>4.5815784426259665E-3</v>
      </c>
      <c r="F40" s="72"/>
      <c r="S40" s="151">
        <v>42292</v>
      </c>
      <c r="T40" s="146">
        <v>99.888999999999996</v>
      </c>
      <c r="U40" s="146">
        <v>99.899000000000001</v>
      </c>
      <c r="V40" s="148">
        <v>6.0000000000000001E-3</v>
      </c>
      <c r="W40" s="147">
        <v>0.1</v>
      </c>
      <c r="Z40" s="159">
        <v>42597</v>
      </c>
      <c r="AA40" s="40">
        <v>99.353999999999999</v>
      </c>
    </row>
    <row r="41" spans="1:27" ht="13.5" thickBot="1" x14ac:dyDescent="0.25">
      <c r="A41" s="76">
        <f t="shared" si="0"/>
        <v>42719</v>
      </c>
      <c r="B41" s="161">
        <f t="shared" si="1"/>
        <v>98.959500000000006</v>
      </c>
      <c r="C41" s="162">
        <f t="shared" si="2"/>
        <v>793</v>
      </c>
      <c r="D41" s="72"/>
      <c r="E41" s="78">
        <f t="shared" si="4"/>
        <v>4.8258838175694319E-3</v>
      </c>
      <c r="F41" s="72"/>
      <c r="S41" s="151">
        <v>42292</v>
      </c>
      <c r="T41" s="146">
        <v>99.885999999999996</v>
      </c>
      <c r="U41" s="146">
        <v>99.896000000000001</v>
      </c>
      <c r="V41" s="148">
        <v>2.1000000000000001E-2</v>
      </c>
      <c r="W41" s="147">
        <v>0.1</v>
      </c>
      <c r="Z41" s="159">
        <v>42628</v>
      </c>
      <c r="AA41" s="40">
        <v>99.246499999999997</v>
      </c>
    </row>
    <row r="42" spans="1:27" ht="13.5" thickBot="1" x14ac:dyDescent="0.25">
      <c r="A42" s="76">
        <f t="shared" si="0"/>
        <v>42735</v>
      </c>
      <c r="B42" s="161">
        <f t="shared" si="1"/>
        <v>98.891999999999996</v>
      </c>
      <c r="C42" s="162">
        <f t="shared" si="2"/>
        <v>809</v>
      </c>
      <c r="D42" s="72"/>
      <c r="E42" s="78">
        <f t="shared" si="4"/>
        <v>5.0395680518298125E-3</v>
      </c>
      <c r="F42" s="72"/>
      <c r="S42" s="151">
        <v>42308</v>
      </c>
      <c r="T42" s="146">
        <v>99.879000000000005</v>
      </c>
      <c r="U42" s="146">
        <v>99.888999999999996</v>
      </c>
      <c r="V42" s="148">
        <v>1.4999999999999999E-2</v>
      </c>
      <c r="W42" s="147">
        <v>0.11</v>
      </c>
      <c r="Z42" s="159">
        <v>42658</v>
      </c>
      <c r="AA42" s="40">
        <v>99.091499999999996</v>
      </c>
    </row>
    <row r="43" spans="1:27" ht="13.5" thickBot="1" x14ac:dyDescent="0.25">
      <c r="A43" s="76">
        <f t="shared" si="0"/>
        <v>42781</v>
      </c>
      <c r="B43" s="161">
        <f t="shared" si="1"/>
        <v>98.64500000000001</v>
      </c>
      <c r="C43" s="162">
        <f t="shared" si="2"/>
        <v>855</v>
      </c>
      <c r="D43" s="72"/>
      <c r="E43" s="78">
        <f t="shared" si="4"/>
        <v>5.8410433403015549E-3</v>
      </c>
      <c r="F43" s="72"/>
      <c r="S43" s="151">
        <v>42323</v>
      </c>
      <c r="T43" s="146">
        <v>99.863</v>
      </c>
      <c r="U43" s="146">
        <v>99.873999999999995</v>
      </c>
      <c r="V43" s="148">
        <v>2.3E-2</v>
      </c>
      <c r="W43" s="147">
        <v>0.12</v>
      </c>
      <c r="Z43" s="159">
        <v>42689</v>
      </c>
      <c r="AA43" s="40">
        <v>99.049000000000007</v>
      </c>
    </row>
    <row r="44" spans="1:27" ht="13.5" thickBot="1" x14ac:dyDescent="0.25">
      <c r="A44" s="76">
        <f t="shared" si="0"/>
        <v>42870</v>
      </c>
      <c r="B44" s="161">
        <f t="shared" si="1"/>
        <v>98.331999999999994</v>
      </c>
      <c r="C44" s="162">
        <f t="shared" si="2"/>
        <v>944</v>
      </c>
      <c r="D44" s="72"/>
      <c r="E44" s="78">
        <f t="shared" si="4"/>
        <v>6.5249531666002891E-3</v>
      </c>
      <c r="F44" s="72"/>
      <c r="S44" s="151">
        <v>42323</v>
      </c>
      <c r="T44" s="146">
        <v>99.843999999999994</v>
      </c>
      <c r="U44" s="146">
        <v>99.855000000000004</v>
      </c>
      <c r="V44" s="148">
        <v>1.7000000000000001E-2</v>
      </c>
      <c r="W44" s="147">
        <v>0.13</v>
      </c>
      <c r="Z44" s="159">
        <v>42719</v>
      </c>
      <c r="AA44" s="40">
        <v>98.959500000000006</v>
      </c>
    </row>
    <row r="45" spans="1:27" ht="13.5" thickBot="1" x14ac:dyDescent="0.25">
      <c r="A45" s="76">
        <f t="shared" si="0"/>
        <v>42962</v>
      </c>
      <c r="B45" s="161">
        <f t="shared" si="1"/>
        <v>97.837666666666664</v>
      </c>
      <c r="C45" s="162">
        <f t="shared" si="2"/>
        <v>1036</v>
      </c>
      <c r="D45" s="72"/>
      <c r="E45" s="78">
        <f t="shared" si="4"/>
        <v>7.7315677599909538E-3</v>
      </c>
      <c r="F45" s="72"/>
      <c r="S45" s="151">
        <v>42323</v>
      </c>
      <c r="T45" s="146">
        <v>99.863</v>
      </c>
      <c r="U45" s="146">
        <v>99.873999999999995</v>
      </c>
      <c r="V45" s="148">
        <v>2.3E-2</v>
      </c>
      <c r="W45" s="147">
        <v>0.12</v>
      </c>
      <c r="Z45" s="159">
        <v>42735</v>
      </c>
      <c r="AA45" s="40">
        <v>98.891999999999996</v>
      </c>
    </row>
    <row r="46" spans="1:27" ht="13.5" thickBot="1" x14ac:dyDescent="0.25">
      <c r="A46" s="76">
        <f t="shared" si="0"/>
        <v>43054</v>
      </c>
      <c r="B46" s="161">
        <f t="shared" si="1"/>
        <v>97.268000000000001</v>
      </c>
      <c r="C46" s="162">
        <f t="shared" si="2"/>
        <v>1128</v>
      </c>
      <c r="D46" s="72"/>
      <c r="E46" s="78">
        <f t="shared" si="4"/>
        <v>9.0035417191309808E-3</v>
      </c>
      <c r="F46" s="72"/>
      <c r="S46" s="151">
        <v>42338</v>
      </c>
      <c r="T46" s="146">
        <v>99.840999999999994</v>
      </c>
      <c r="U46" s="146">
        <v>99.852000000000004</v>
      </c>
      <c r="V46" s="148">
        <v>2.1000000000000001E-2</v>
      </c>
      <c r="W46" s="147">
        <v>0.13</v>
      </c>
      <c r="Z46" s="159">
        <v>42781</v>
      </c>
      <c r="AA46" s="40">
        <v>98.64500000000001</v>
      </c>
    </row>
    <row r="47" spans="1:27" ht="13.5" thickBot="1" x14ac:dyDescent="0.25">
      <c r="A47" s="76">
        <f t="shared" si="0"/>
        <v>43131</v>
      </c>
      <c r="B47" s="161">
        <f t="shared" si="1"/>
        <v>96.674999999999997</v>
      </c>
      <c r="C47" s="162">
        <f t="shared" si="2"/>
        <v>1205</v>
      </c>
      <c r="D47" s="72"/>
      <c r="E47" s="78">
        <f t="shared" si="4"/>
        <v>1.0295460683215962E-2</v>
      </c>
      <c r="F47" s="72"/>
      <c r="S47" s="151">
        <v>42353</v>
      </c>
      <c r="T47" s="146">
        <v>99.822000000000003</v>
      </c>
      <c r="U47" s="146">
        <v>99.834000000000003</v>
      </c>
      <c r="V47" s="148">
        <v>2.1999999999999999E-2</v>
      </c>
      <c r="W47" s="147">
        <v>0.14000000000000001</v>
      </c>
      <c r="Z47" s="159">
        <v>42870</v>
      </c>
      <c r="AA47" s="40">
        <v>98.331999999999994</v>
      </c>
    </row>
    <row r="48" spans="1:27" ht="13.5" thickBot="1" x14ac:dyDescent="0.25">
      <c r="A48" s="76">
        <f t="shared" si="0"/>
        <v>43146</v>
      </c>
      <c r="B48" s="161">
        <f t="shared" si="1"/>
        <v>96.676000000000002</v>
      </c>
      <c r="C48" s="162">
        <f t="shared" si="2"/>
        <v>1220</v>
      </c>
      <c r="D48" s="72"/>
      <c r="E48" s="78">
        <f t="shared" si="4"/>
        <v>1.0165109619636015E-2</v>
      </c>
      <c r="F48" s="72"/>
      <c r="S48" s="151">
        <v>42353</v>
      </c>
      <c r="T48" s="146">
        <v>99.822000000000003</v>
      </c>
      <c r="U48" s="146">
        <v>99.834000000000003</v>
      </c>
      <c r="V48" s="148">
        <v>2.1999999999999999E-2</v>
      </c>
      <c r="W48" s="147">
        <v>0.14000000000000001</v>
      </c>
      <c r="Z48" s="159">
        <v>42962</v>
      </c>
      <c r="AA48" s="40">
        <v>97.837666666666664</v>
      </c>
    </row>
    <row r="49" spans="1:27" ht="13.5" thickBot="1" x14ac:dyDescent="0.25">
      <c r="A49" s="76">
        <f t="shared" si="0"/>
        <v>43159</v>
      </c>
      <c r="B49" s="161">
        <f t="shared" si="1"/>
        <v>96.647000000000006</v>
      </c>
      <c r="C49" s="162">
        <f t="shared" si="2"/>
        <v>1233</v>
      </c>
      <c r="D49" s="72"/>
      <c r="E49" s="78">
        <f t="shared" si="4"/>
        <v>1.0147107501454311E-2</v>
      </c>
      <c r="F49" s="72"/>
      <c r="S49" s="151">
        <v>42369</v>
      </c>
      <c r="T49" s="146">
        <v>99.813999999999993</v>
      </c>
      <c r="U49" s="146">
        <v>99.825999999999993</v>
      </c>
      <c r="V49" s="148">
        <v>2.8000000000000001E-2</v>
      </c>
      <c r="W49" s="147">
        <v>0.14000000000000001</v>
      </c>
      <c r="Z49" s="159">
        <v>43054</v>
      </c>
      <c r="AA49" s="40">
        <v>97.268000000000001</v>
      </c>
    </row>
    <row r="50" spans="1:27" ht="13.5" thickBot="1" x14ac:dyDescent="0.25">
      <c r="A50" s="76">
        <f t="shared" si="0"/>
        <v>43190</v>
      </c>
      <c r="B50" s="161">
        <f t="shared" si="1"/>
        <v>96.459499999999991</v>
      </c>
      <c r="C50" s="162">
        <f t="shared" si="2"/>
        <v>1264</v>
      </c>
      <c r="D50" s="72"/>
      <c r="E50" s="78">
        <f t="shared" si="4"/>
        <v>1.0463492018501386E-2</v>
      </c>
      <c r="F50" s="72"/>
      <c r="S50" s="151">
        <v>42369</v>
      </c>
      <c r="T50" s="146">
        <v>99.787000000000006</v>
      </c>
      <c r="U50" s="146">
        <v>99.799000000000007</v>
      </c>
      <c r="V50" s="148">
        <v>2.5000000000000001E-2</v>
      </c>
      <c r="W50" s="147">
        <v>0.17</v>
      </c>
      <c r="Z50" s="159">
        <v>43131</v>
      </c>
      <c r="AA50" s="40">
        <v>96.674999999999997</v>
      </c>
    </row>
    <row r="51" spans="1:27" ht="13.5" thickBot="1" x14ac:dyDescent="0.25">
      <c r="A51" s="76">
        <f t="shared" si="0"/>
        <v>43220</v>
      </c>
      <c r="B51" s="161">
        <f t="shared" si="1"/>
        <v>96.157000000000011</v>
      </c>
      <c r="C51" s="162">
        <f t="shared" si="2"/>
        <v>1294</v>
      </c>
      <c r="D51" s="72"/>
      <c r="E51" s="78">
        <f t="shared" si="4"/>
        <v>1.1115096546904235E-2</v>
      </c>
      <c r="F51" s="72"/>
      <c r="S51" s="151">
        <v>42384</v>
      </c>
      <c r="T51" s="146">
        <v>99.781999999999996</v>
      </c>
      <c r="U51" s="146">
        <v>99.795000000000002</v>
      </c>
      <c r="V51" s="148">
        <v>2.9000000000000001E-2</v>
      </c>
      <c r="W51" s="147">
        <v>0.16</v>
      </c>
      <c r="Z51" s="159">
        <v>43146</v>
      </c>
      <c r="AA51" s="40">
        <v>96.676000000000002</v>
      </c>
    </row>
    <row r="52" spans="1:27" ht="13.5" thickBot="1" x14ac:dyDescent="0.25">
      <c r="A52" s="76">
        <f t="shared" si="0"/>
        <v>43235</v>
      </c>
      <c r="B52" s="161">
        <f t="shared" si="1"/>
        <v>96.23</v>
      </c>
      <c r="C52" s="162">
        <f t="shared" si="2"/>
        <v>1309</v>
      </c>
      <c r="D52" s="72"/>
      <c r="E52" s="78">
        <f t="shared" si="4"/>
        <v>1.0773120610876985E-2</v>
      </c>
      <c r="F52" s="72"/>
      <c r="S52" s="151">
        <v>42384</v>
      </c>
      <c r="T52" s="146">
        <v>99.77</v>
      </c>
      <c r="U52" s="146">
        <v>99.781999999999996</v>
      </c>
      <c r="V52" s="148">
        <v>0.03</v>
      </c>
      <c r="W52" s="147">
        <v>0.17</v>
      </c>
      <c r="Z52" s="159">
        <v>43159</v>
      </c>
      <c r="AA52" s="40">
        <v>96.647000000000006</v>
      </c>
    </row>
    <row r="53" spans="1:27" ht="13.5" thickBot="1" x14ac:dyDescent="0.25">
      <c r="A53" s="76">
        <f t="shared" si="0"/>
        <v>43251</v>
      </c>
      <c r="B53" s="161">
        <f t="shared" si="1"/>
        <v>96.004999999999995</v>
      </c>
      <c r="C53" s="162">
        <f t="shared" si="2"/>
        <v>1325</v>
      </c>
      <c r="D53" s="72"/>
      <c r="E53" s="78">
        <f t="shared" si="4"/>
        <v>1.1294261004292538E-2</v>
      </c>
      <c r="F53" s="72"/>
      <c r="S53" s="151">
        <v>42400</v>
      </c>
      <c r="T53" s="146">
        <v>99.757000000000005</v>
      </c>
      <c r="U53" s="146">
        <v>99.77</v>
      </c>
      <c r="V53" s="148">
        <v>2.7E-2</v>
      </c>
      <c r="W53" s="147">
        <v>0.18</v>
      </c>
      <c r="Z53" s="159">
        <v>43190</v>
      </c>
      <c r="AA53" s="40">
        <v>96.459499999999991</v>
      </c>
    </row>
    <row r="54" spans="1:27" ht="13.5" thickBot="1" x14ac:dyDescent="0.25">
      <c r="A54" s="76">
        <f t="shared" si="0"/>
        <v>43281</v>
      </c>
      <c r="B54" s="161">
        <f t="shared" si="1"/>
        <v>95.846000000000004</v>
      </c>
      <c r="C54" s="162">
        <f t="shared" si="2"/>
        <v>1355</v>
      </c>
      <c r="D54" s="72"/>
      <c r="E54" s="78">
        <f t="shared" si="4"/>
        <v>1.1494354494457903E-2</v>
      </c>
      <c r="F54" s="72"/>
      <c r="S54" s="151">
        <v>42415</v>
      </c>
      <c r="T54" s="146">
        <v>99.745000000000005</v>
      </c>
      <c r="U54" s="146">
        <v>99.757999999999996</v>
      </c>
      <c r="V54" s="148">
        <v>3.1E-2</v>
      </c>
      <c r="W54" s="147">
        <v>0.18</v>
      </c>
      <c r="Z54" s="159">
        <v>43220</v>
      </c>
      <c r="AA54" s="40">
        <v>96.157000000000011</v>
      </c>
    </row>
    <row r="55" spans="1:27" ht="13.5" thickBot="1" x14ac:dyDescent="0.25">
      <c r="A55" s="76">
        <f t="shared" si="0"/>
        <v>43312</v>
      </c>
      <c r="B55" s="161">
        <f t="shared" si="1"/>
        <v>95.567666666666653</v>
      </c>
      <c r="C55" s="162">
        <f t="shared" si="2"/>
        <v>1386</v>
      </c>
      <c r="D55" s="72"/>
      <c r="E55" s="78">
        <f t="shared" si="4"/>
        <v>1.201059365267354E-2</v>
      </c>
      <c r="F55" s="72"/>
      <c r="S55" s="151">
        <v>42415</v>
      </c>
      <c r="T55" s="146">
        <v>99.731999999999999</v>
      </c>
      <c r="U55" s="146">
        <v>99.745000000000005</v>
      </c>
      <c r="V55" s="148">
        <v>3.1E-2</v>
      </c>
      <c r="W55" s="147">
        <v>0.19</v>
      </c>
      <c r="Z55" s="159">
        <v>43235</v>
      </c>
      <c r="AA55" s="40">
        <v>96.23</v>
      </c>
    </row>
    <row r="56" spans="1:27" ht="13.5" thickBot="1" x14ac:dyDescent="0.25">
      <c r="A56" s="76">
        <f t="shared" si="0"/>
        <v>43327</v>
      </c>
      <c r="B56" s="161">
        <f t="shared" si="1"/>
        <v>95.602000000000004</v>
      </c>
      <c r="C56" s="162">
        <f t="shared" si="2"/>
        <v>1401</v>
      </c>
      <c r="D56" s="72"/>
      <c r="E56" s="78">
        <f t="shared" si="4"/>
        <v>1.1786552546951823E-2</v>
      </c>
      <c r="F56" s="72"/>
      <c r="S56" s="151">
        <v>42415</v>
      </c>
      <c r="T56" s="146">
        <v>99.745000000000005</v>
      </c>
      <c r="U56" s="146">
        <v>99.757999999999996</v>
      </c>
      <c r="V56" s="148">
        <v>3.1E-2</v>
      </c>
      <c r="W56" s="147">
        <v>0.18</v>
      </c>
      <c r="Z56" s="159">
        <v>43251</v>
      </c>
      <c r="AA56" s="40">
        <v>96.004999999999995</v>
      </c>
    </row>
    <row r="57" spans="1:27" ht="13.5" thickBot="1" x14ac:dyDescent="0.25">
      <c r="A57" s="76">
        <f t="shared" si="0"/>
        <v>43343</v>
      </c>
      <c r="B57" s="161">
        <f t="shared" si="1"/>
        <v>95.527999999999992</v>
      </c>
      <c r="C57" s="162">
        <f t="shared" si="2"/>
        <v>1417</v>
      </c>
      <c r="D57" s="72"/>
      <c r="E57" s="78">
        <f t="shared" si="4"/>
        <v>1.1854497155867838E-2</v>
      </c>
      <c r="F57" s="72"/>
      <c r="S57" s="151">
        <v>42444</v>
      </c>
      <c r="T57" s="146">
        <v>99.683999999999997</v>
      </c>
      <c r="U57" s="146">
        <v>99.697999999999993</v>
      </c>
      <c r="V57" s="148">
        <v>4.8000000000000001E-2</v>
      </c>
      <c r="W57" s="147">
        <v>0.21</v>
      </c>
      <c r="Z57" s="159">
        <v>43281</v>
      </c>
      <c r="AA57" s="40">
        <v>95.846000000000004</v>
      </c>
    </row>
    <row r="58" spans="1:27" ht="13.5" thickBot="1" x14ac:dyDescent="0.25">
      <c r="A58" s="76">
        <f t="shared" si="0"/>
        <v>43373</v>
      </c>
      <c r="B58" s="161">
        <f t="shared" si="1"/>
        <v>95.376499999999993</v>
      </c>
      <c r="C58" s="162">
        <f t="shared" si="2"/>
        <v>1447</v>
      </c>
      <c r="D58" s="72"/>
      <c r="E58" s="78">
        <f t="shared" si="4"/>
        <v>1.2012390736008127E-2</v>
      </c>
      <c r="F58" s="72"/>
      <c r="S58" s="151">
        <v>42444</v>
      </c>
      <c r="T58" s="146">
        <v>99.659000000000006</v>
      </c>
      <c r="U58" s="146">
        <v>99.673000000000002</v>
      </c>
      <c r="V58" s="148">
        <v>3.3000000000000002E-2</v>
      </c>
      <c r="W58" s="147">
        <v>0.23</v>
      </c>
      <c r="Z58" s="159">
        <v>43312</v>
      </c>
      <c r="AA58" s="40">
        <v>95.567666666666653</v>
      </c>
    </row>
    <row r="59" spans="1:27" ht="13.5" thickBot="1" x14ac:dyDescent="0.25">
      <c r="A59" s="76">
        <f t="shared" si="0"/>
        <v>43404</v>
      </c>
      <c r="B59" s="161">
        <f t="shared" si="1"/>
        <v>94.962666666666678</v>
      </c>
      <c r="C59" s="162">
        <f t="shared" si="2"/>
        <v>1478</v>
      </c>
      <c r="D59" s="72"/>
      <c r="E59" s="78">
        <f t="shared" si="4"/>
        <v>1.284603179260313E-2</v>
      </c>
      <c r="F59" s="72"/>
      <c r="S59" s="151">
        <v>42475</v>
      </c>
      <c r="T59" s="146">
        <v>99.649000000000001</v>
      </c>
      <c r="U59" s="146">
        <v>99.664000000000001</v>
      </c>
      <c r="V59" s="148">
        <v>7.5999999999999998E-2</v>
      </c>
      <c r="W59" s="147">
        <v>0.22</v>
      </c>
      <c r="Z59" s="159">
        <v>43327</v>
      </c>
      <c r="AA59" s="40">
        <v>95.602000000000004</v>
      </c>
    </row>
    <row r="60" spans="1:27" ht="13.5" thickBot="1" x14ac:dyDescent="0.25">
      <c r="A60" s="76">
        <f t="shared" si="0"/>
        <v>43419</v>
      </c>
      <c r="B60" s="161">
        <f t="shared" si="1"/>
        <v>94.992666666666665</v>
      </c>
      <c r="C60" s="162">
        <f t="shared" si="2"/>
        <v>1493</v>
      </c>
      <c r="D60" s="72"/>
      <c r="E60" s="78">
        <f t="shared" si="4"/>
        <v>1.2637952600401681E-2</v>
      </c>
      <c r="F60" s="72"/>
      <c r="S60" s="151">
        <v>42505</v>
      </c>
      <c r="T60" s="146">
        <v>99.587000000000003</v>
      </c>
      <c r="U60" s="146">
        <v>99.602999999999994</v>
      </c>
      <c r="V60" s="148">
        <v>8.4000000000000005E-2</v>
      </c>
      <c r="W60" s="147">
        <v>0.25</v>
      </c>
      <c r="Z60" s="159">
        <v>43343</v>
      </c>
      <c r="AA60" s="40">
        <v>95.527999999999992</v>
      </c>
    </row>
    <row r="61" spans="1:27" ht="13.5" thickBot="1" x14ac:dyDescent="0.25">
      <c r="A61" s="76">
        <f t="shared" si="0"/>
        <v>43434</v>
      </c>
      <c r="B61" s="161">
        <f t="shared" si="1"/>
        <v>94.821333333333328</v>
      </c>
      <c r="C61" s="162">
        <f t="shared" si="2"/>
        <v>1508</v>
      </c>
      <c r="D61" s="72"/>
      <c r="E61" s="78">
        <f t="shared" si="4"/>
        <v>1.2953977533340932E-2</v>
      </c>
      <c r="F61" s="72"/>
      <c r="S61" s="151">
        <v>42505</v>
      </c>
      <c r="T61" s="146">
        <v>99.611000000000004</v>
      </c>
      <c r="U61" s="146">
        <v>99.626999999999995</v>
      </c>
      <c r="V61" s="148">
        <v>7.6999999999999999E-2</v>
      </c>
      <c r="W61" s="147">
        <v>0.24</v>
      </c>
      <c r="Z61" s="159">
        <v>43373</v>
      </c>
      <c r="AA61" s="40">
        <v>95.376499999999993</v>
      </c>
    </row>
    <row r="62" spans="1:27" ht="13.5" thickBot="1" x14ac:dyDescent="0.25">
      <c r="A62" s="76">
        <f t="shared" si="0"/>
        <v>43465</v>
      </c>
      <c r="B62" s="161">
        <f t="shared" si="1"/>
        <v>94.606499999999997</v>
      </c>
      <c r="C62" s="162">
        <f t="shared" si="2"/>
        <v>1539</v>
      </c>
      <c r="D62" s="72"/>
      <c r="E62" s="78">
        <f t="shared" si="4"/>
        <v>1.3236321836846754E-2</v>
      </c>
      <c r="F62" s="72"/>
      <c r="S62" s="151">
        <v>42505</v>
      </c>
      <c r="T62" s="146">
        <v>99.587000000000003</v>
      </c>
      <c r="U62" s="146">
        <v>99.602999999999994</v>
      </c>
      <c r="V62" s="148">
        <v>8.4000000000000005E-2</v>
      </c>
      <c r="W62" s="147">
        <v>0.25</v>
      </c>
      <c r="Z62" s="159">
        <v>43404</v>
      </c>
      <c r="AA62" s="40">
        <v>94.962666666666678</v>
      </c>
    </row>
    <row r="63" spans="1:27" ht="13.5" thickBot="1" x14ac:dyDescent="0.25">
      <c r="A63" s="76">
        <f t="shared" si="0"/>
        <v>43496</v>
      </c>
      <c r="B63" s="161">
        <f t="shared" si="1"/>
        <v>94.378500000000003</v>
      </c>
      <c r="C63" s="162">
        <f t="shared" si="2"/>
        <v>1570</v>
      </c>
      <c r="D63" s="72"/>
      <c r="E63" s="78">
        <f t="shared" si="4"/>
        <v>1.3541675396801622E-2</v>
      </c>
      <c r="F63" s="72"/>
      <c r="S63" s="151">
        <v>42536</v>
      </c>
      <c r="T63" s="146">
        <v>99.539000000000001</v>
      </c>
      <c r="U63" s="146">
        <v>99.555000000000007</v>
      </c>
      <c r="V63" s="148">
        <v>9.4E-2</v>
      </c>
      <c r="W63" s="147">
        <v>0.27</v>
      </c>
      <c r="Z63" s="159">
        <v>43419</v>
      </c>
      <c r="AA63" s="40">
        <v>94.992666666666665</v>
      </c>
    </row>
    <row r="64" spans="1:27" ht="13.5" thickBot="1" x14ac:dyDescent="0.25">
      <c r="A64" s="76">
        <f t="shared" si="0"/>
        <v>43511</v>
      </c>
      <c r="B64" s="161">
        <f t="shared" si="1"/>
        <v>94.385333333333335</v>
      </c>
      <c r="C64" s="162">
        <f t="shared" si="2"/>
        <v>1585</v>
      </c>
      <c r="D64" s="72"/>
      <c r="E64" s="78">
        <f t="shared" si="4"/>
        <v>1.3395768885550607E-2</v>
      </c>
      <c r="F64" s="72"/>
      <c r="S64" s="151">
        <v>42536</v>
      </c>
      <c r="T64" s="146">
        <v>99.483000000000004</v>
      </c>
      <c r="U64" s="146">
        <v>99.498999999999995</v>
      </c>
      <c r="V64" s="148">
        <v>8.8999999999999996E-2</v>
      </c>
      <c r="W64" s="147">
        <v>0.3</v>
      </c>
      <c r="Z64" s="159">
        <v>43434</v>
      </c>
      <c r="AA64" s="40">
        <v>94.821333333333328</v>
      </c>
    </row>
    <row r="65" spans="1:27" ht="13.5" thickBot="1" x14ac:dyDescent="0.25">
      <c r="A65" s="76">
        <f t="shared" si="0"/>
        <v>43524</v>
      </c>
      <c r="B65" s="161">
        <f t="shared" si="1"/>
        <v>94.134500000000003</v>
      </c>
      <c r="C65" s="162">
        <f t="shared" ref="C65:C128" si="5">A65-$B$2</f>
        <v>1598</v>
      </c>
      <c r="D65" s="72"/>
      <c r="E65" s="78">
        <f t="shared" ref="E65:E128" si="6">(100/B65)^(365/C65)-1</f>
        <v>1.390215343013379E-2</v>
      </c>
      <c r="S65" s="151">
        <v>42551</v>
      </c>
      <c r="T65" s="146">
        <v>99.47</v>
      </c>
      <c r="U65" s="146">
        <v>99.486999999999995</v>
      </c>
      <c r="V65" s="148">
        <v>9.0999999999999998E-2</v>
      </c>
      <c r="W65" s="147">
        <v>0.3</v>
      </c>
      <c r="Z65" s="159">
        <v>43465</v>
      </c>
      <c r="AA65" s="40">
        <v>94.606499999999997</v>
      </c>
    </row>
    <row r="66" spans="1:27" ht="13.5" thickBot="1" x14ac:dyDescent="0.25">
      <c r="A66" s="76">
        <f t="shared" si="0"/>
        <v>43555</v>
      </c>
      <c r="B66" s="161">
        <f t="shared" si="1"/>
        <v>94.001499999999993</v>
      </c>
      <c r="C66" s="162">
        <f t="shared" si="5"/>
        <v>1629</v>
      </c>
      <c r="D66" s="72"/>
      <c r="E66" s="78">
        <f t="shared" si="6"/>
        <v>1.3956966862224363E-2</v>
      </c>
      <c r="S66" s="151">
        <v>42566</v>
      </c>
      <c r="T66" s="146">
        <v>99.462999999999994</v>
      </c>
      <c r="U66" s="146">
        <v>99.480999999999995</v>
      </c>
      <c r="V66" s="148">
        <v>0.109</v>
      </c>
      <c r="W66" s="147">
        <v>0.3</v>
      </c>
      <c r="Z66" s="159">
        <v>43496</v>
      </c>
      <c r="AA66" s="40">
        <v>94.378500000000003</v>
      </c>
    </row>
    <row r="67" spans="1:27" ht="13.5" thickBot="1" x14ac:dyDescent="0.25">
      <c r="A67" s="76">
        <f t="shared" si="0"/>
        <v>43585</v>
      </c>
      <c r="B67" s="161">
        <f t="shared" si="1"/>
        <v>93.7</v>
      </c>
      <c r="C67" s="162">
        <f t="shared" si="5"/>
        <v>1659</v>
      </c>
      <c r="D67" s="72"/>
      <c r="E67" s="78">
        <f t="shared" si="6"/>
        <v>1.4419597439025544E-2</v>
      </c>
      <c r="S67" s="151">
        <v>42566</v>
      </c>
      <c r="T67" s="146">
        <v>99.24</v>
      </c>
      <c r="U67" s="146">
        <v>99.257000000000005</v>
      </c>
      <c r="V67" s="148">
        <v>9.2999999999999999E-2</v>
      </c>
      <c r="W67" s="147">
        <v>0.43</v>
      </c>
      <c r="Z67" s="159">
        <v>43511</v>
      </c>
      <c r="AA67" s="40">
        <v>94.385333333333335</v>
      </c>
    </row>
    <row r="68" spans="1:27" ht="13.5" thickBot="1" x14ac:dyDescent="0.25">
      <c r="A68" s="76">
        <f t="shared" si="0"/>
        <v>43600</v>
      </c>
      <c r="B68" s="161">
        <f t="shared" si="1"/>
        <v>93.676000000000002</v>
      </c>
      <c r="C68" s="162">
        <f t="shared" si="5"/>
        <v>1674</v>
      </c>
      <c r="D68" s="72"/>
      <c r="E68" s="78">
        <f t="shared" si="6"/>
        <v>1.4346125870207338E-2</v>
      </c>
      <c r="S68" s="151">
        <v>42597</v>
      </c>
      <c r="T68" s="146">
        <v>99.335999999999999</v>
      </c>
      <c r="U68" s="146">
        <v>99.353999999999999</v>
      </c>
      <c r="V68" s="148">
        <v>0.13</v>
      </c>
      <c r="W68" s="147">
        <v>0.35</v>
      </c>
      <c r="Z68" s="159">
        <v>43524</v>
      </c>
      <c r="AA68" s="40">
        <v>94.134500000000003</v>
      </c>
    </row>
    <row r="69" spans="1:27" ht="13.5" thickBot="1" x14ac:dyDescent="0.25">
      <c r="A69" s="76">
        <f t="shared" si="0"/>
        <v>43616</v>
      </c>
      <c r="B69" s="161">
        <f t="shared" si="1"/>
        <v>93.494499999999988</v>
      </c>
      <c r="C69" s="162">
        <f t="shared" si="5"/>
        <v>1690</v>
      </c>
      <c r="D69" s="72"/>
      <c r="E69" s="78">
        <f t="shared" si="6"/>
        <v>1.4634251351023586E-2</v>
      </c>
      <c r="S69" s="151">
        <v>42597</v>
      </c>
      <c r="T69" s="146">
        <v>99.376999999999995</v>
      </c>
      <c r="U69" s="146">
        <v>99.394999999999996</v>
      </c>
      <c r="V69" s="148">
        <v>0.13</v>
      </c>
      <c r="W69" s="147">
        <v>0.33</v>
      </c>
      <c r="Z69" s="159">
        <v>43555</v>
      </c>
      <c r="AA69" s="40">
        <v>94.001499999999993</v>
      </c>
    </row>
    <row r="70" spans="1:27" ht="13.5" thickBot="1" x14ac:dyDescent="0.25">
      <c r="A70" s="76">
        <f t="shared" ref="A70:A133" si="7">Z73</f>
        <v>43646</v>
      </c>
      <c r="B70" s="161">
        <f t="shared" ref="B70:B133" si="8">AA73</f>
        <v>93.325999999999993</v>
      </c>
      <c r="C70" s="162">
        <f t="shared" si="5"/>
        <v>1720</v>
      </c>
      <c r="D70" s="72"/>
      <c r="E70" s="78">
        <f t="shared" si="6"/>
        <v>1.4765552816899508E-2</v>
      </c>
      <c r="S70" s="151">
        <v>42597</v>
      </c>
      <c r="T70" s="146">
        <v>99.295000000000002</v>
      </c>
      <c r="U70" s="146">
        <v>99.313000000000002</v>
      </c>
      <c r="V70" s="148">
        <v>9.8000000000000004E-2</v>
      </c>
      <c r="W70" s="147">
        <v>0.38</v>
      </c>
      <c r="Z70" s="159">
        <v>43585</v>
      </c>
      <c r="AA70" s="40">
        <v>93.7</v>
      </c>
    </row>
    <row r="71" spans="1:27" ht="13.5" thickBot="1" x14ac:dyDescent="0.25">
      <c r="A71" s="76">
        <f t="shared" si="7"/>
        <v>43677</v>
      </c>
      <c r="B71" s="161">
        <f t="shared" si="8"/>
        <v>93.117500000000007</v>
      </c>
      <c r="C71" s="162">
        <f t="shared" si="5"/>
        <v>1751</v>
      </c>
      <c r="D71" s="72"/>
      <c r="E71" s="78">
        <f t="shared" si="6"/>
        <v>1.4975351375366541E-2</v>
      </c>
      <c r="S71" s="151">
        <v>42628</v>
      </c>
      <c r="T71" s="146">
        <v>99.283000000000001</v>
      </c>
      <c r="U71" s="146">
        <v>99.302000000000007</v>
      </c>
      <c r="V71" s="148">
        <v>0.13400000000000001</v>
      </c>
      <c r="W71" s="147">
        <v>0.37</v>
      </c>
      <c r="Z71" s="159">
        <v>43600</v>
      </c>
      <c r="AA71" s="40">
        <v>93.676000000000002</v>
      </c>
    </row>
    <row r="72" spans="1:27" ht="13.5" thickBot="1" x14ac:dyDescent="0.25">
      <c r="A72" s="76">
        <f t="shared" si="7"/>
        <v>43692</v>
      </c>
      <c r="B72" s="161">
        <f t="shared" si="8"/>
        <v>93.216000000000008</v>
      </c>
      <c r="C72" s="162">
        <f t="shared" si="5"/>
        <v>1766</v>
      </c>
      <c r="D72" s="72"/>
      <c r="E72" s="78">
        <f t="shared" si="6"/>
        <v>1.4625481372943394E-2</v>
      </c>
      <c r="S72" s="151">
        <v>42628</v>
      </c>
      <c r="T72" s="146">
        <v>99.171999999999997</v>
      </c>
      <c r="U72" s="146">
        <v>99.191000000000003</v>
      </c>
      <c r="V72" s="148">
        <v>0.106</v>
      </c>
      <c r="W72" s="147">
        <v>0.42</v>
      </c>
      <c r="Z72" s="159">
        <v>43616</v>
      </c>
      <c r="AA72" s="40">
        <v>93.494499999999988</v>
      </c>
    </row>
    <row r="73" spans="1:27" ht="13.5" thickBot="1" x14ac:dyDescent="0.25">
      <c r="A73" s="76">
        <f t="shared" si="7"/>
        <v>43708</v>
      </c>
      <c r="B73" s="161">
        <f t="shared" si="8"/>
        <v>92.968999999999994</v>
      </c>
      <c r="C73" s="162">
        <f t="shared" si="5"/>
        <v>1782</v>
      </c>
      <c r="D73" s="72"/>
      <c r="E73" s="78">
        <f t="shared" si="6"/>
        <v>1.5044703344303745E-2</v>
      </c>
      <c r="S73" s="151">
        <v>42658</v>
      </c>
      <c r="T73" s="146">
        <v>99.168999999999997</v>
      </c>
      <c r="U73" s="146">
        <v>99.188999999999993</v>
      </c>
      <c r="V73" s="148">
        <v>0.13200000000000001</v>
      </c>
      <c r="W73" s="147">
        <v>0.41</v>
      </c>
      <c r="Z73" s="159">
        <v>43646</v>
      </c>
      <c r="AA73" s="40">
        <v>93.325999999999993</v>
      </c>
    </row>
    <row r="74" spans="1:27" ht="13.5" thickBot="1" x14ac:dyDescent="0.25">
      <c r="A74" s="76">
        <f t="shared" si="7"/>
        <v>43738</v>
      </c>
      <c r="B74" s="161">
        <f t="shared" si="8"/>
        <v>92.835000000000008</v>
      </c>
      <c r="C74" s="162">
        <f t="shared" si="5"/>
        <v>1812</v>
      </c>
      <c r="D74" s="72"/>
      <c r="E74" s="78">
        <f t="shared" si="6"/>
        <v>1.5088672322766117E-2</v>
      </c>
      <c r="S74" s="151">
        <v>42658</v>
      </c>
      <c r="T74" s="146">
        <v>98.974000000000004</v>
      </c>
      <c r="U74" s="146">
        <v>98.994</v>
      </c>
      <c r="V74" s="148">
        <v>0.14099999999999999</v>
      </c>
      <c r="W74" s="147">
        <v>0.51</v>
      </c>
      <c r="Z74" s="159">
        <v>43677</v>
      </c>
      <c r="AA74" s="40">
        <v>93.117500000000007</v>
      </c>
    </row>
    <row r="75" spans="1:27" ht="13.5" thickBot="1" x14ac:dyDescent="0.25">
      <c r="A75" s="76">
        <f t="shared" si="7"/>
        <v>43769</v>
      </c>
      <c r="B75" s="161">
        <f t="shared" si="8"/>
        <v>92.527999999999992</v>
      </c>
      <c r="C75" s="162">
        <f t="shared" si="5"/>
        <v>1843</v>
      </c>
      <c r="D75" s="72"/>
      <c r="E75" s="78">
        <f t="shared" si="6"/>
        <v>1.5498965111955698E-2</v>
      </c>
      <c r="S75" s="151">
        <v>42689</v>
      </c>
      <c r="T75" s="146">
        <v>99.034000000000006</v>
      </c>
      <c r="U75" s="146">
        <v>99.054000000000002</v>
      </c>
      <c r="V75" s="148">
        <v>0.14699999999999999</v>
      </c>
      <c r="W75" s="147">
        <v>0.46</v>
      </c>
      <c r="Z75" s="159">
        <v>43692</v>
      </c>
      <c r="AA75" s="40">
        <v>93.216000000000008</v>
      </c>
    </row>
    <row r="76" spans="1:27" ht="13.5" thickBot="1" x14ac:dyDescent="0.25">
      <c r="A76" s="76">
        <f t="shared" si="7"/>
        <v>43784</v>
      </c>
      <c r="B76" s="161">
        <f t="shared" si="8"/>
        <v>92.460999999999999</v>
      </c>
      <c r="C76" s="162">
        <f t="shared" si="5"/>
        <v>1858</v>
      </c>
      <c r="D76" s="72"/>
      <c r="E76" s="78">
        <f t="shared" si="6"/>
        <v>1.5517380279488346E-2</v>
      </c>
      <c r="S76" s="151">
        <v>42689</v>
      </c>
      <c r="T76" s="146">
        <v>98.992999999999995</v>
      </c>
      <c r="U76" s="146">
        <v>99.013000000000005</v>
      </c>
      <c r="V76" s="148">
        <v>0.157</v>
      </c>
      <c r="W76" s="147">
        <v>0.48</v>
      </c>
      <c r="Z76" s="159">
        <v>43708</v>
      </c>
      <c r="AA76" s="40">
        <v>92.968999999999994</v>
      </c>
    </row>
    <row r="77" spans="1:27" ht="13.5" thickBot="1" x14ac:dyDescent="0.25">
      <c r="A77" s="76">
        <f t="shared" si="7"/>
        <v>43799</v>
      </c>
      <c r="B77" s="161">
        <f t="shared" si="8"/>
        <v>92.360500000000002</v>
      </c>
      <c r="C77" s="162">
        <f t="shared" si="5"/>
        <v>1873</v>
      </c>
      <c r="D77" s="72"/>
      <c r="E77" s="78">
        <f t="shared" si="6"/>
        <v>1.5607375132252743E-2</v>
      </c>
      <c r="S77" s="151">
        <v>42689</v>
      </c>
      <c r="T77" s="146">
        <v>99.055000000000007</v>
      </c>
      <c r="U77" s="146">
        <v>99.075000000000003</v>
      </c>
      <c r="V77" s="148">
        <v>0.14699999999999999</v>
      </c>
      <c r="W77" s="147">
        <v>0.45</v>
      </c>
      <c r="Z77" s="159">
        <v>43738</v>
      </c>
      <c r="AA77" s="40">
        <v>92.835000000000008</v>
      </c>
    </row>
    <row r="78" spans="1:27" ht="12.95" customHeight="1" thickBot="1" x14ac:dyDescent="0.25">
      <c r="A78" s="76">
        <f t="shared" si="7"/>
        <v>43830</v>
      </c>
      <c r="B78" s="161">
        <f t="shared" si="8"/>
        <v>92.141500000000008</v>
      </c>
      <c r="C78" s="162">
        <f t="shared" si="5"/>
        <v>1904</v>
      </c>
      <c r="D78" s="72"/>
      <c r="E78" s="78">
        <f t="shared" si="6"/>
        <v>1.5813506345804251E-2</v>
      </c>
      <c r="S78" s="152">
        <v>42689</v>
      </c>
      <c r="T78" s="154">
        <v>99.034000000000006</v>
      </c>
      <c r="U78" s="154">
        <v>99.054000000000002</v>
      </c>
      <c r="V78" s="155">
        <v>0.14699999999999999</v>
      </c>
      <c r="W78" s="156">
        <v>0.46</v>
      </c>
      <c r="Z78" s="159">
        <v>43769</v>
      </c>
      <c r="AA78" s="40">
        <v>92.527999999999992</v>
      </c>
    </row>
    <row r="79" spans="1:27" ht="13.5" thickBot="1" x14ac:dyDescent="0.25">
      <c r="A79" s="76">
        <f t="shared" si="7"/>
        <v>43861</v>
      </c>
      <c r="B79" s="161">
        <f t="shared" si="8"/>
        <v>91.990000000000009</v>
      </c>
      <c r="C79" s="162">
        <f t="shared" si="5"/>
        <v>1935</v>
      </c>
      <c r="D79" s="72"/>
      <c r="E79" s="78">
        <f t="shared" si="6"/>
        <v>1.5873484486575995E-2</v>
      </c>
      <c r="S79" s="151">
        <v>42719</v>
      </c>
      <c r="T79" s="146">
        <v>98.983000000000004</v>
      </c>
      <c r="U79" s="146">
        <v>99.004000000000005</v>
      </c>
      <c r="V79" s="148">
        <v>0.17699999999999999</v>
      </c>
      <c r="W79" s="147">
        <v>0.46</v>
      </c>
      <c r="Z79" s="159">
        <v>43784</v>
      </c>
      <c r="AA79" s="40">
        <v>92.460999999999999</v>
      </c>
    </row>
    <row r="80" spans="1:27" ht="13.5" thickBot="1" x14ac:dyDescent="0.25">
      <c r="A80" s="76">
        <f t="shared" si="7"/>
        <v>43876</v>
      </c>
      <c r="B80" s="161">
        <f t="shared" si="8"/>
        <v>91.911000000000001</v>
      </c>
      <c r="C80" s="162">
        <f t="shared" si="5"/>
        <v>1950</v>
      </c>
      <c r="D80" s="72"/>
      <c r="E80" s="78">
        <f t="shared" si="6"/>
        <v>1.5913787011029523E-2</v>
      </c>
      <c r="S80" s="151">
        <v>42719</v>
      </c>
      <c r="T80" s="146">
        <v>98.893000000000001</v>
      </c>
      <c r="U80" s="146">
        <v>98.915000000000006</v>
      </c>
      <c r="V80" s="148">
        <v>0.156</v>
      </c>
      <c r="W80" s="147">
        <v>0.5</v>
      </c>
      <c r="Z80" s="159">
        <v>43799</v>
      </c>
      <c r="AA80" s="40">
        <v>92.360500000000002</v>
      </c>
    </row>
    <row r="81" spans="1:27" ht="13.5" thickBot="1" x14ac:dyDescent="0.25">
      <c r="A81" s="76">
        <f t="shared" si="7"/>
        <v>43890</v>
      </c>
      <c r="B81" s="161">
        <f t="shared" si="8"/>
        <v>91.767499999999998</v>
      </c>
      <c r="C81" s="162">
        <f t="shared" si="5"/>
        <v>1964</v>
      </c>
      <c r="D81" s="72"/>
      <c r="E81" s="78">
        <f t="shared" si="6"/>
        <v>1.6094473521299113E-2</v>
      </c>
      <c r="S81" s="151">
        <v>42735</v>
      </c>
      <c r="T81" s="146">
        <v>98.872</v>
      </c>
      <c r="U81" s="146">
        <v>98.894000000000005</v>
      </c>
      <c r="V81" s="148">
        <v>0.17199999999999999</v>
      </c>
      <c r="W81" s="147">
        <v>0.5</v>
      </c>
      <c r="Z81" s="159">
        <v>43830</v>
      </c>
      <c r="AA81" s="40">
        <v>92.141500000000008</v>
      </c>
    </row>
    <row r="82" spans="1:27" ht="13.5" thickBot="1" x14ac:dyDescent="0.25">
      <c r="A82" s="76">
        <f t="shared" si="7"/>
        <v>43921</v>
      </c>
      <c r="B82" s="161">
        <f t="shared" si="8"/>
        <v>91.358000000000004</v>
      </c>
      <c r="C82" s="162">
        <f t="shared" si="5"/>
        <v>1995</v>
      </c>
      <c r="D82" s="72"/>
      <c r="E82" s="78">
        <f t="shared" si="6"/>
        <v>1.6673966151574682E-2</v>
      </c>
      <c r="S82" s="151">
        <v>42735</v>
      </c>
      <c r="T82" s="146">
        <v>98.876999999999995</v>
      </c>
      <c r="U82" s="146">
        <v>98.897999999999996</v>
      </c>
      <c r="V82" s="148">
        <v>0.17899999999999999</v>
      </c>
      <c r="W82" s="147">
        <v>0.5</v>
      </c>
      <c r="Z82" s="159">
        <v>43861</v>
      </c>
      <c r="AA82" s="40">
        <v>91.990000000000009</v>
      </c>
    </row>
    <row r="83" spans="1:27" ht="13.5" thickBot="1" x14ac:dyDescent="0.25">
      <c r="A83" s="76">
        <f t="shared" si="7"/>
        <v>43951</v>
      </c>
      <c r="B83" s="161">
        <f t="shared" si="8"/>
        <v>91.296999999999997</v>
      </c>
      <c r="C83" s="162">
        <f t="shared" si="5"/>
        <v>2025</v>
      </c>
      <c r="D83" s="72"/>
      <c r="E83" s="78">
        <f t="shared" si="6"/>
        <v>1.654730324388054E-2</v>
      </c>
      <c r="S83" s="151">
        <v>42735</v>
      </c>
      <c r="T83" s="146">
        <v>98.861999999999995</v>
      </c>
      <c r="U83" s="146">
        <v>98.884</v>
      </c>
      <c r="V83" s="148">
        <v>0.155</v>
      </c>
      <c r="W83" s="147">
        <v>0.51</v>
      </c>
      <c r="Z83" s="159">
        <v>43876</v>
      </c>
      <c r="AA83" s="40">
        <v>91.911000000000001</v>
      </c>
    </row>
    <row r="84" spans="1:27" ht="13.5" thickBot="1" x14ac:dyDescent="0.25">
      <c r="A84" s="76">
        <f t="shared" si="7"/>
        <v>43966</v>
      </c>
      <c r="B84" s="161">
        <f t="shared" si="8"/>
        <v>91.268000000000001</v>
      </c>
      <c r="C84" s="162">
        <f t="shared" si="5"/>
        <v>2040</v>
      </c>
      <c r="D84" s="72"/>
      <c r="E84" s="78">
        <f t="shared" si="6"/>
        <v>1.648241589860322E-2</v>
      </c>
      <c r="S84" s="151">
        <v>42781</v>
      </c>
      <c r="T84" s="146">
        <v>98.674000000000007</v>
      </c>
      <c r="U84" s="146">
        <v>98.697000000000003</v>
      </c>
      <c r="V84" s="148">
        <v>0.17399999999999999</v>
      </c>
      <c r="W84" s="147">
        <v>0.56000000000000005</v>
      </c>
      <c r="Z84" s="159">
        <v>43890</v>
      </c>
      <c r="AA84" s="40">
        <v>91.767499999999998</v>
      </c>
    </row>
    <row r="85" spans="1:27" ht="13.5" thickBot="1" x14ac:dyDescent="0.25">
      <c r="A85" s="76">
        <f t="shared" si="7"/>
        <v>43982</v>
      </c>
      <c r="B85" s="161">
        <f t="shared" si="8"/>
        <v>91.026499999999999</v>
      </c>
      <c r="C85" s="162">
        <f t="shared" si="5"/>
        <v>2056</v>
      </c>
      <c r="D85" s="72"/>
      <c r="E85" s="78">
        <f t="shared" si="6"/>
        <v>1.6831283794866536E-2</v>
      </c>
      <c r="S85" s="151">
        <v>42781</v>
      </c>
      <c r="T85" s="146">
        <v>98.57</v>
      </c>
      <c r="U85" s="146">
        <v>98.593000000000004</v>
      </c>
      <c r="V85" s="148">
        <v>0.16400000000000001</v>
      </c>
      <c r="W85" s="147">
        <v>0.61</v>
      </c>
      <c r="Z85" s="159">
        <v>43921</v>
      </c>
      <c r="AA85" s="40">
        <v>91.358000000000004</v>
      </c>
    </row>
    <row r="86" spans="1:27" ht="13.5" thickBot="1" x14ac:dyDescent="0.25">
      <c r="A86" s="76">
        <f t="shared" si="7"/>
        <v>44012</v>
      </c>
      <c r="B86" s="161">
        <f t="shared" si="8"/>
        <v>90.856999999999999</v>
      </c>
      <c r="C86" s="162">
        <f t="shared" si="5"/>
        <v>2086</v>
      </c>
      <c r="D86" s="72"/>
      <c r="E86" s="78">
        <f t="shared" si="6"/>
        <v>1.6918816009092064E-2</v>
      </c>
      <c r="S86" s="151">
        <v>42870</v>
      </c>
      <c r="T86" s="146">
        <v>98.286000000000001</v>
      </c>
      <c r="U86" s="146">
        <v>98.311000000000007</v>
      </c>
      <c r="V86" s="148">
        <v>0.217</v>
      </c>
      <c r="W86" s="147">
        <v>0.66</v>
      </c>
      <c r="Z86" s="159">
        <v>43951</v>
      </c>
      <c r="AA86" s="40">
        <v>91.296999999999997</v>
      </c>
    </row>
    <row r="87" spans="1:27" ht="13.5" thickBot="1" x14ac:dyDescent="0.25">
      <c r="A87" s="76">
        <f t="shared" si="7"/>
        <v>44043</v>
      </c>
      <c r="B87" s="161">
        <f t="shared" si="8"/>
        <v>90.6755</v>
      </c>
      <c r="C87" s="162">
        <f t="shared" si="5"/>
        <v>2117</v>
      </c>
      <c r="D87" s="72"/>
      <c r="E87" s="78">
        <f t="shared" si="6"/>
        <v>1.7019587547258519E-2</v>
      </c>
      <c r="S87" s="151">
        <v>42870</v>
      </c>
      <c r="T87" s="146">
        <v>98.343000000000004</v>
      </c>
      <c r="U87" s="146">
        <v>98.367999999999995</v>
      </c>
      <c r="V87" s="148">
        <v>0.223</v>
      </c>
      <c r="W87" s="147">
        <v>0.64</v>
      </c>
      <c r="Z87" s="159">
        <v>43966</v>
      </c>
      <c r="AA87" s="40">
        <v>91.268000000000001</v>
      </c>
    </row>
    <row r="88" spans="1:27" ht="13.5" thickBot="1" x14ac:dyDescent="0.25">
      <c r="A88" s="76">
        <f t="shared" si="7"/>
        <v>44058</v>
      </c>
      <c r="B88" s="161">
        <f t="shared" si="8"/>
        <v>90.475999999999999</v>
      </c>
      <c r="C88" s="162">
        <f t="shared" si="5"/>
        <v>2132</v>
      </c>
      <c r="D88" s="72"/>
      <c r="E88" s="78">
        <f t="shared" si="6"/>
        <v>1.7282365074176909E-2</v>
      </c>
      <c r="S88" s="151">
        <v>42870</v>
      </c>
      <c r="T88" s="146">
        <v>98.292000000000002</v>
      </c>
      <c r="U88" s="146">
        <v>98.316999999999993</v>
      </c>
      <c r="V88" s="148">
        <v>0.223</v>
      </c>
      <c r="W88" s="147">
        <v>0.66</v>
      </c>
      <c r="Z88" s="159">
        <v>43982</v>
      </c>
      <c r="AA88" s="40">
        <v>91.026499999999999</v>
      </c>
    </row>
    <row r="89" spans="1:27" ht="13.5" thickBot="1" x14ac:dyDescent="0.25">
      <c r="A89" s="76">
        <f t="shared" si="7"/>
        <v>44074</v>
      </c>
      <c r="B89" s="161">
        <f t="shared" si="8"/>
        <v>90.454499999999996</v>
      </c>
      <c r="C89" s="162">
        <f t="shared" si="5"/>
        <v>2148</v>
      </c>
      <c r="D89" s="72"/>
      <c r="E89" s="78">
        <f t="shared" si="6"/>
        <v>1.7193612687825599E-2</v>
      </c>
      <c r="S89" s="151">
        <v>42962</v>
      </c>
      <c r="T89" s="146">
        <v>97.858999999999995</v>
      </c>
      <c r="U89" s="146">
        <v>97.885999999999996</v>
      </c>
      <c r="V89" s="148">
        <v>0.25800000000000001</v>
      </c>
      <c r="W89" s="147">
        <v>0.75</v>
      </c>
      <c r="Z89" s="159">
        <v>44012</v>
      </c>
      <c r="AA89" s="40">
        <v>90.856999999999999</v>
      </c>
    </row>
    <row r="90" spans="1:27" ht="13.5" thickBot="1" x14ac:dyDescent="0.25">
      <c r="A90" s="76">
        <f t="shared" si="7"/>
        <v>44104</v>
      </c>
      <c r="B90" s="161">
        <f t="shared" si="8"/>
        <v>90.051999999999992</v>
      </c>
      <c r="C90" s="162">
        <f t="shared" si="5"/>
        <v>2178</v>
      </c>
      <c r="D90" s="72"/>
      <c r="E90" s="78">
        <f t="shared" si="6"/>
        <v>1.7715120711248034E-2</v>
      </c>
      <c r="S90" s="151">
        <v>42962</v>
      </c>
      <c r="T90" s="146">
        <v>97.775999999999996</v>
      </c>
      <c r="U90" s="146">
        <v>97.802999999999997</v>
      </c>
      <c r="V90" s="148">
        <v>0.25700000000000001</v>
      </c>
      <c r="W90" s="147">
        <v>0.79</v>
      </c>
      <c r="Z90" s="159">
        <v>44043</v>
      </c>
      <c r="AA90" s="40">
        <v>90.6755</v>
      </c>
    </row>
    <row r="91" spans="1:27" ht="13.5" thickBot="1" x14ac:dyDescent="0.25">
      <c r="A91" s="76">
        <f t="shared" si="7"/>
        <v>44135</v>
      </c>
      <c r="B91" s="161">
        <f t="shared" si="8"/>
        <v>89.760999999999996</v>
      </c>
      <c r="C91" s="162">
        <f t="shared" si="5"/>
        <v>2209</v>
      </c>
      <c r="D91" s="72"/>
      <c r="E91" s="78">
        <f t="shared" si="6"/>
        <v>1.8008652859756946E-2</v>
      </c>
      <c r="S91" s="151">
        <v>42962</v>
      </c>
      <c r="T91" s="146">
        <v>97.796999999999997</v>
      </c>
      <c r="U91" s="146">
        <v>97.823999999999998</v>
      </c>
      <c r="V91" s="148">
        <v>0.25800000000000001</v>
      </c>
      <c r="W91" s="147">
        <v>0.78</v>
      </c>
      <c r="Z91" s="159">
        <v>44058</v>
      </c>
      <c r="AA91" s="40">
        <v>90.475999999999999</v>
      </c>
    </row>
    <row r="92" spans="1:27" ht="13.5" thickBot="1" x14ac:dyDescent="0.25">
      <c r="A92" s="76">
        <f t="shared" si="7"/>
        <v>44150</v>
      </c>
      <c r="B92" s="161">
        <f t="shared" si="8"/>
        <v>89.749499999999998</v>
      </c>
      <c r="C92" s="162">
        <f t="shared" si="5"/>
        <v>2224</v>
      </c>
      <c r="D92" s="72"/>
      <c r="E92" s="78">
        <f t="shared" si="6"/>
        <v>1.7907516068191631E-2</v>
      </c>
      <c r="S92" s="151">
        <v>43054</v>
      </c>
      <c r="T92" s="146">
        <v>97.29</v>
      </c>
      <c r="U92" s="146">
        <v>97.32</v>
      </c>
      <c r="V92" s="148">
        <v>0.28499999999999998</v>
      </c>
      <c r="W92" s="147">
        <v>0.88</v>
      </c>
      <c r="Z92" s="159">
        <v>44074</v>
      </c>
      <c r="AA92" s="40">
        <v>90.454499999999996</v>
      </c>
    </row>
    <row r="93" spans="1:27" ht="13.5" thickBot="1" x14ac:dyDescent="0.25">
      <c r="A93" s="76">
        <f t="shared" si="7"/>
        <v>44165</v>
      </c>
      <c r="B93" s="161">
        <f t="shared" si="8"/>
        <v>89.5745</v>
      </c>
      <c r="C93" s="162">
        <f t="shared" si="5"/>
        <v>2239</v>
      </c>
      <c r="D93" s="72"/>
      <c r="E93" s="78">
        <f t="shared" si="6"/>
        <v>1.8110373067280028E-2</v>
      </c>
      <c r="S93" s="151">
        <v>43054</v>
      </c>
      <c r="T93" s="146">
        <v>97.186000000000007</v>
      </c>
      <c r="U93" s="146">
        <v>97.215999999999994</v>
      </c>
      <c r="V93" s="148">
        <v>0.27800000000000002</v>
      </c>
      <c r="W93" s="147">
        <v>0.92</v>
      </c>
      <c r="Z93" s="159">
        <v>44104</v>
      </c>
      <c r="AA93" s="40">
        <v>90.051999999999992</v>
      </c>
    </row>
    <row r="94" spans="1:27" ht="13.5" thickBot="1" x14ac:dyDescent="0.25">
      <c r="A94" s="76">
        <f t="shared" si="7"/>
        <v>44242</v>
      </c>
      <c r="B94" s="161">
        <f t="shared" si="8"/>
        <v>89.176000000000002</v>
      </c>
      <c r="C94" s="162">
        <f t="shared" si="5"/>
        <v>2316</v>
      </c>
      <c r="D94" s="72"/>
      <c r="E94" s="78">
        <f t="shared" si="6"/>
        <v>1.8218263757433073E-2</v>
      </c>
      <c r="S94" s="151">
        <v>43131</v>
      </c>
      <c r="T94" s="146">
        <v>96.804000000000002</v>
      </c>
      <c r="U94" s="146">
        <v>96.835999999999999</v>
      </c>
      <c r="V94" s="148">
        <v>0.312</v>
      </c>
      <c r="W94" s="147">
        <v>0.98</v>
      </c>
      <c r="Z94" s="159">
        <v>44135</v>
      </c>
      <c r="AA94" s="40">
        <v>89.760999999999996</v>
      </c>
    </row>
    <row r="95" spans="1:27" ht="13.5" thickBot="1" x14ac:dyDescent="0.25">
      <c r="A95" s="76">
        <f t="shared" si="7"/>
        <v>44331</v>
      </c>
      <c r="B95" s="161">
        <f t="shared" si="8"/>
        <v>88.470500000000001</v>
      </c>
      <c r="C95" s="162">
        <f t="shared" si="5"/>
        <v>2405</v>
      </c>
      <c r="D95" s="72"/>
      <c r="E95" s="78">
        <f t="shared" si="6"/>
        <v>1.8765531733781815E-2</v>
      </c>
      <c r="S95" s="151">
        <v>43131</v>
      </c>
      <c r="T95" s="146">
        <v>96.483000000000004</v>
      </c>
      <c r="U95" s="146">
        <v>96.513999999999996</v>
      </c>
      <c r="V95" s="148">
        <v>0.31900000000000001</v>
      </c>
      <c r="W95" s="147">
        <v>1.08</v>
      </c>
      <c r="Z95" s="159">
        <v>44150</v>
      </c>
      <c r="AA95" s="40">
        <v>89.749499999999998</v>
      </c>
    </row>
    <row r="96" spans="1:27" ht="13.5" thickBot="1" x14ac:dyDescent="0.25">
      <c r="A96" s="76">
        <f t="shared" si="7"/>
        <v>44423</v>
      </c>
      <c r="B96" s="161">
        <f t="shared" si="8"/>
        <v>87.911000000000001</v>
      </c>
      <c r="C96" s="162">
        <f t="shared" si="5"/>
        <v>2497</v>
      </c>
      <c r="D96" s="72"/>
      <c r="E96" s="78">
        <f t="shared" si="6"/>
        <v>1.9012485494124931E-2</v>
      </c>
      <c r="S96" s="151">
        <v>43146</v>
      </c>
      <c r="T96" s="146">
        <v>96.688000000000002</v>
      </c>
      <c r="U96" s="146">
        <v>96.72</v>
      </c>
      <c r="V96" s="148">
        <v>0.32300000000000001</v>
      </c>
      <c r="W96" s="147">
        <v>1</v>
      </c>
      <c r="Z96" s="159">
        <v>44165</v>
      </c>
      <c r="AA96" s="40">
        <v>89.5745</v>
      </c>
    </row>
    <row r="97" spans="1:27" ht="13.5" thickBot="1" x14ac:dyDescent="0.25">
      <c r="A97" s="76">
        <f t="shared" si="7"/>
        <v>44515</v>
      </c>
      <c r="B97" s="161">
        <f t="shared" si="8"/>
        <v>87.114999999999995</v>
      </c>
      <c r="C97" s="162">
        <f t="shared" si="5"/>
        <v>2589</v>
      </c>
      <c r="D97" s="72"/>
      <c r="E97" s="78">
        <f t="shared" si="6"/>
        <v>1.9637410863196703E-2</v>
      </c>
      <c r="S97" s="151">
        <v>43146</v>
      </c>
      <c r="T97" s="146">
        <v>96.6</v>
      </c>
      <c r="U97" s="146">
        <v>96.632000000000005</v>
      </c>
      <c r="V97" s="148">
        <v>0.32300000000000001</v>
      </c>
      <c r="W97" s="147">
        <v>1.03</v>
      </c>
      <c r="Z97" s="159">
        <v>44242</v>
      </c>
      <c r="AA97" s="40">
        <v>89.176000000000002</v>
      </c>
    </row>
    <row r="98" spans="1:27" ht="13.5" thickBot="1" x14ac:dyDescent="0.25">
      <c r="A98" s="76">
        <f t="shared" si="7"/>
        <v>44607</v>
      </c>
      <c r="B98" s="161">
        <f t="shared" si="8"/>
        <v>86.418000000000006</v>
      </c>
      <c r="C98" s="162">
        <f t="shared" si="5"/>
        <v>2681</v>
      </c>
      <c r="D98" s="72"/>
      <c r="E98" s="78">
        <f t="shared" si="6"/>
        <v>2.0072189596950674E-2</v>
      </c>
      <c r="S98" s="151">
        <v>43159</v>
      </c>
      <c r="T98" s="146">
        <v>96.614999999999995</v>
      </c>
      <c r="U98" s="146">
        <v>96.647000000000006</v>
      </c>
      <c r="V98" s="148">
        <v>0.32300000000000001</v>
      </c>
      <c r="W98" s="147">
        <v>1.01</v>
      </c>
      <c r="Z98" s="159">
        <v>44331</v>
      </c>
      <c r="AA98" s="40">
        <v>88.470500000000001</v>
      </c>
    </row>
    <row r="99" spans="1:27" ht="13.5" thickBot="1" x14ac:dyDescent="0.25">
      <c r="A99" s="76">
        <f t="shared" si="7"/>
        <v>44696</v>
      </c>
      <c r="B99" s="161">
        <f t="shared" si="8"/>
        <v>85.771999999999991</v>
      </c>
      <c r="C99" s="162">
        <f t="shared" si="5"/>
        <v>2770</v>
      </c>
      <c r="D99" s="72"/>
      <c r="E99" s="78">
        <f t="shared" si="6"/>
        <v>2.0429461249698022E-2</v>
      </c>
      <c r="S99" s="151">
        <v>43190</v>
      </c>
      <c r="T99" s="146">
        <v>96.430999999999997</v>
      </c>
      <c r="U99" s="146">
        <v>96.463999999999999</v>
      </c>
      <c r="V99" s="148">
        <v>0.33900000000000002</v>
      </c>
      <c r="W99" s="147">
        <v>1.04</v>
      </c>
      <c r="Z99" s="159">
        <v>44423</v>
      </c>
      <c r="AA99" s="40">
        <v>87.911000000000001</v>
      </c>
    </row>
    <row r="100" spans="1:27" ht="13.5" thickBot="1" x14ac:dyDescent="0.25">
      <c r="A100" s="76">
        <f t="shared" si="7"/>
        <v>44788</v>
      </c>
      <c r="B100" s="161">
        <f t="shared" si="8"/>
        <v>85.174000000000007</v>
      </c>
      <c r="C100" s="162">
        <f t="shared" si="5"/>
        <v>2862</v>
      </c>
      <c r="D100" s="72"/>
      <c r="E100" s="78">
        <f t="shared" si="6"/>
        <v>2.0676616607231635E-2</v>
      </c>
      <c r="S100" s="151">
        <v>43190</v>
      </c>
      <c r="T100" s="146">
        <v>96.421999999999997</v>
      </c>
      <c r="U100" s="146">
        <v>96.454999999999998</v>
      </c>
      <c r="V100" s="148">
        <v>0.33400000000000002</v>
      </c>
      <c r="W100" s="147">
        <v>1.05</v>
      </c>
      <c r="Z100" s="159">
        <v>44515</v>
      </c>
      <c r="AA100" s="40">
        <v>87.114999999999995</v>
      </c>
    </row>
    <row r="101" spans="1:27" ht="13.5" thickBot="1" x14ac:dyDescent="0.25">
      <c r="A101" s="76">
        <f t="shared" si="7"/>
        <v>44880</v>
      </c>
      <c r="B101" s="161">
        <f t="shared" si="8"/>
        <v>84.476666666666674</v>
      </c>
      <c r="C101" s="162">
        <f t="shared" si="5"/>
        <v>2954</v>
      </c>
      <c r="D101" s="72"/>
      <c r="E101" s="78">
        <f t="shared" si="6"/>
        <v>2.1062903684496037E-2</v>
      </c>
      <c r="S101" s="151">
        <v>43220</v>
      </c>
      <c r="T101" s="146">
        <v>96.238</v>
      </c>
      <c r="U101" s="146">
        <v>96.271000000000001</v>
      </c>
      <c r="V101" s="148">
        <v>0.32800000000000001</v>
      </c>
      <c r="W101" s="147">
        <v>1.08</v>
      </c>
      <c r="Z101" s="159">
        <v>44607</v>
      </c>
      <c r="AA101" s="40">
        <v>86.418000000000006</v>
      </c>
    </row>
    <row r="102" spans="1:27" ht="13.5" thickBot="1" x14ac:dyDescent="0.25">
      <c r="A102" s="76">
        <f t="shared" si="7"/>
        <v>44972</v>
      </c>
      <c r="B102" s="161">
        <f t="shared" si="8"/>
        <v>83.665500000000009</v>
      </c>
      <c r="C102" s="162">
        <f t="shared" si="5"/>
        <v>3046</v>
      </c>
      <c r="D102" s="72"/>
      <c r="E102" s="78">
        <f t="shared" si="6"/>
        <v>2.1600761924351453E-2</v>
      </c>
      <c r="S102" s="151">
        <v>43220</v>
      </c>
      <c r="T102" s="146">
        <v>96.009</v>
      </c>
      <c r="U102" s="146">
        <v>96.043000000000006</v>
      </c>
      <c r="V102" s="148">
        <v>0.33800000000000002</v>
      </c>
      <c r="W102" s="147">
        <v>1.1399999999999999</v>
      </c>
      <c r="Z102" s="159">
        <v>44696</v>
      </c>
      <c r="AA102" s="40">
        <v>85.771999999999991</v>
      </c>
    </row>
    <row r="103" spans="1:27" ht="13.5" thickBot="1" x14ac:dyDescent="0.25">
      <c r="A103" s="76">
        <f t="shared" si="7"/>
        <v>45061</v>
      </c>
      <c r="B103" s="161">
        <f t="shared" si="8"/>
        <v>83.015999999999991</v>
      </c>
      <c r="C103" s="162">
        <f t="shared" si="5"/>
        <v>3135</v>
      </c>
      <c r="D103" s="72"/>
      <c r="E103" s="78">
        <f t="shared" si="6"/>
        <v>2.190796371765491E-2</v>
      </c>
      <c r="S103" s="151">
        <v>43235</v>
      </c>
      <c r="T103" s="146">
        <v>96.272999999999996</v>
      </c>
      <c r="U103" s="146">
        <v>96.307000000000002</v>
      </c>
      <c r="V103" s="148">
        <v>0.34399999999999997</v>
      </c>
      <c r="W103" s="147">
        <v>1.05</v>
      </c>
      <c r="Z103" s="159">
        <v>44788</v>
      </c>
      <c r="AA103" s="40">
        <v>85.174000000000007</v>
      </c>
    </row>
    <row r="104" spans="1:27" ht="13.5" thickBot="1" x14ac:dyDescent="0.25">
      <c r="A104" s="76">
        <f t="shared" si="7"/>
        <v>45153</v>
      </c>
      <c r="B104" s="161">
        <f t="shared" si="8"/>
        <v>82.465333333333334</v>
      </c>
      <c r="C104" s="162">
        <f t="shared" si="5"/>
        <v>3227</v>
      </c>
      <c r="D104" s="72"/>
      <c r="E104" s="78">
        <f t="shared" si="6"/>
        <v>2.2045863653650022E-2</v>
      </c>
      <c r="S104" s="151">
        <v>43235</v>
      </c>
      <c r="T104" s="146">
        <v>96.177999999999997</v>
      </c>
      <c r="U104" s="146">
        <v>96.212999999999994</v>
      </c>
      <c r="V104" s="148">
        <v>0.34300000000000003</v>
      </c>
      <c r="W104" s="147">
        <v>1.08</v>
      </c>
      <c r="Z104" s="159">
        <v>44880</v>
      </c>
      <c r="AA104" s="40">
        <v>84.476666666666674</v>
      </c>
    </row>
    <row r="105" spans="1:27" ht="13.5" thickBot="1" x14ac:dyDescent="0.25">
      <c r="A105" s="76">
        <f t="shared" si="7"/>
        <v>45245</v>
      </c>
      <c r="B105" s="161">
        <f t="shared" si="8"/>
        <v>81.716499999999996</v>
      </c>
      <c r="C105" s="162">
        <f t="shared" si="5"/>
        <v>3319</v>
      </c>
      <c r="D105" s="72"/>
      <c r="E105" s="78">
        <f t="shared" si="6"/>
        <v>2.2453459835901857E-2</v>
      </c>
      <c r="S105" s="151">
        <v>43235</v>
      </c>
      <c r="T105" s="146">
        <v>96.135999999999996</v>
      </c>
      <c r="U105" s="146">
        <v>96.17</v>
      </c>
      <c r="V105" s="148">
        <v>0.34300000000000003</v>
      </c>
      <c r="W105" s="147">
        <v>1.0900000000000001</v>
      </c>
      <c r="Z105" s="159">
        <v>44972</v>
      </c>
      <c r="AA105" s="40">
        <v>83.665500000000009</v>
      </c>
    </row>
    <row r="106" spans="1:27" ht="13.5" thickBot="1" x14ac:dyDescent="0.25">
      <c r="A106" s="76">
        <f t="shared" si="7"/>
        <v>45337</v>
      </c>
      <c r="B106" s="161">
        <f t="shared" si="8"/>
        <v>80.739000000000004</v>
      </c>
      <c r="C106" s="162">
        <f t="shared" si="5"/>
        <v>3411</v>
      </c>
      <c r="D106" s="72"/>
      <c r="E106" s="78">
        <f t="shared" si="6"/>
        <v>2.3158004793017994E-2</v>
      </c>
      <c r="S106" s="151">
        <v>43251</v>
      </c>
      <c r="T106" s="146">
        <v>95.988</v>
      </c>
      <c r="U106" s="146">
        <v>96.022999999999996</v>
      </c>
      <c r="V106" s="148">
        <v>0.33500000000000002</v>
      </c>
      <c r="W106" s="147">
        <v>1.1200000000000001</v>
      </c>
      <c r="Z106" s="159">
        <v>45061</v>
      </c>
      <c r="AA106" s="40">
        <v>83.015999999999991</v>
      </c>
    </row>
    <row r="107" spans="1:27" ht="13.5" thickBot="1" x14ac:dyDescent="0.25">
      <c r="A107" s="76">
        <f t="shared" si="7"/>
        <v>45427</v>
      </c>
      <c r="B107" s="161">
        <f t="shared" si="8"/>
        <v>80.069000000000003</v>
      </c>
      <c r="C107" s="162">
        <f t="shared" si="5"/>
        <v>3501</v>
      </c>
      <c r="D107" s="72"/>
      <c r="E107" s="78">
        <f t="shared" si="6"/>
        <v>2.3444762856833279E-2</v>
      </c>
      <c r="S107" s="151">
        <v>43251</v>
      </c>
      <c r="T107" s="146">
        <v>96.004000000000005</v>
      </c>
      <c r="U107" s="146">
        <v>96.039000000000001</v>
      </c>
      <c r="V107" s="148">
        <v>0.33700000000000002</v>
      </c>
      <c r="W107" s="147">
        <v>1.1200000000000001</v>
      </c>
      <c r="Z107" s="159">
        <v>45153</v>
      </c>
      <c r="AA107" s="40">
        <v>82.465333333333334</v>
      </c>
    </row>
    <row r="108" spans="1:27" ht="13.5" thickBot="1" x14ac:dyDescent="0.25">
      <c r="A108" s="76">
        <f t="shared" si="7"/>
        <v>45519</v>
      </c>
      <c r="B108" s="161">
        <f t="shared" si="8"/>
        <v>79.355000000000004</v>
      </c>
      <c r="C108" s="162">
        <f t="shared" si="5"/>
        <v>3593</v>
      </c>
      <c r="D108" s="72"/>
      <c r="E108" s="78">
        <f t="shared" si="6"/>
        <v>2.376879418304978E-2</v>
      </c>
      <c r="S108" s="151">
        <v>43251</v>
      </c>
      <c r="T108" s="146">
        <v>95.918999999999997</v>
      </c>
      <c r="U108" s="146">
        <v>95.953000000000003</v>
      </c>
      <c r="V108" s="148">
        <v>0.34699999999999998</v>
      </c>
      <c r="W108" s="147">
        <v>1.1399999999999999</v>
      </c>
      <c r="Z108" s="159">
        <v>45245</v>
      </c>
      <c r="AA108" s="40">
        <v>81.716499999999996</v>
      </c>
    </row>
    <row r="109" spans="1:27" ht="13.5" thickBot="1" x14ac:dyDescent="0.25">
      <c r="A109" s="76">
        <f t="shared" si="7"/>
        <v>45611</v>
      </c>
      <c r="B109" s="161">
        <f t="shared" si="8"/>
        <v>79.039000000000001</v>
      </c>
      <c r="C109" s="162">
        <f t="shared" si="5"/>
        <v>3685</v>
      </c>
      <c r="D109" s="72"/>
      <c r="E109" s="78">
        <f t="shared" si="6"/>
        <v>2.3573011782362485E-2</v>
      </c>
      <c r="S109" s="151">
        <v>43281</v>
      </c>
      <c r="T109" s="146">
        <v>95.795000000000002</v>
      </c>
      <c r="U109" s="146">
        <v>95.83</v>
      </c>
      <c r="V109" s="148">
        <v>0.374</v>
      </c>
      <c r="W109" s="147">
        <v>1.1499999999999999</v>
      </c>
      <c r="Z109" s="159">
        <v>45337</v>
      </c>
      <c r="AA109" s="40">
        <v>80.739000000000004</v>
      </c>
    </row>
    <row r="110" spans="1:27" ht="13.5" thickBot="1" x14ac:dyDescent="0.25">
      <c r="A110" s="76">
        <f t="shared" si="7"/>
        <v>45703</v>
      </c>
      <c r="B110" s="161">
        <f t="shared" si="8"/>
        <v>78.338999999999999</v>
      </c>
      <c r="C110" s="162">
        <f t="shared" si="5"/>
        <v>3777</v>
      </c>
      <c r="D110" s="72"/>
      <c r="E110" s="78">
        <f t="shared" si="6"/>
        <v>2.3872086952745786E-2</v>
      </c>
      <c r="S110" s="151">
        <v>43281</v>
      </c>
      <c r="T110" s="146">
        <v>95.82</v>
      </c>
      <c r="U110" s="146">
        <v>95.855000000000004</v>
      </c>
      <c r="V110" s="148">
        <v>0.38</v>
      </c>
      <c r="W110" s="147">
        <v>1.1399999999999999</v>
      </c>
      <c r="Z110" s="159">
        <v>45427</v>
      </c>
      <c r="AA110" s="40">
        <v>80.069000000000003</v>
      </c>
    </row>
    <row r="111" spans="1:27" ht="13.5" thickBot="1" x14ac:dyDescent="0.25">
      <c r="A111" s="76">
        <f t="shared" si="7"/>
        <v>45792</v>
      </c>
      <c r="B111" s="161">
        <f t="shared" si="8"/>
        <v>77.216999999999999</v>
      </c>
      <c r="C111" s="162">
        <f t="shared" si="5"/>
        <v>3866</v>
      </c>
      <c r="D111" s="72"/>
      <c r="E111" s="78">
        <f t="shared" si="6"/>
        <v>2.4710863788717896E-2</v>
      </c>
      <c r="S111" s="151">
        <v>43281</v>
      </c>
      <c r="T111" s="146">
        <v>95.817999999999998</v>
      </c>
      <c r="U111" s="146">
        <v>95.852999999999994</v>
      </c>
      <c r="V111" s="148">
        <v>0.35399999999999998</v>
      </c>
      <c r="W111" s="147">
        <v>1.1399999999999999</v>
      </c>
      <c r="Z111" s="159">
        <v>45519</v>
      </c>
      <c r="AA111" s="40">
        <v>79.355000000000004</v>
      </c>
    </row>
    <row r="112" spans="1:27" ht="13.5" thickBot="1" x14ac:dyDescent="0.25">
      <c r="A112" s="76">
        <f t="shared" si="7"/>
        <v>45884</v>
      </c>
      <c r="B112" s="161">
        <f t="shared" si="8"/>
        <v>76.984999999999999</v>
      </c>
      <c r="C112" s="162">
        <f t="shared" si="5"/>
        <v>3958</v>
      </c>
      <c r="D112" s="72"/>
      <c r="E112" s="78">
        <f t="shared" si="6"/>
        <v>2.4413832734629937E-2</v>
      </c>
      <c r="S112" s="151">
        <v>43312</v>
      </c>
      <c r="T112" s="146">
        <v>95.608999999999995</v>
      </c>
      <c r="U112" s="146">
        <v>95.644999999999996</v>
      </c>
      <c r="V112" s="148">
        <v>0.375</v>
      </c>
      <c r="W112" s="147">
        <v>1.18</v>
      </c>
      <c r="Z112" s="159">
        <v>45611</v>
      </c>
      <c r="AA112" s="40">
        <v>79.039000000000001</v>
      </c>
    </row>
    <row r="113" spans="1:27" ht="13.5" thickBot="1" x14ac:dyDescent="0.25">
      <c r="A113" s="76">
        <f t="shared" si="7"/>
        <v>45976</v>
      </c>
      <c r="B113" s="161">
        <f t="shared" si="8"/>
        <v>75.801000000000002</v>
      </c>
      <c r="C113" s="162">
        <f t="shared" si="5"/>
        <v>4050</v>
      </c>
      <c r="D113" s="72"/>
      <c r="E113" s="78">
        <f t="shared" si="6"/>
        <v>2.5283836434176088E-2</v>
      </c>
      <c r="S113" s="151">
        <v>43312</v>
      </c>
      <c r="T113" s="146">
        <v>95.641000000000005</v>
      </c>
      <c r="U113" s="146">
        <v>95.677000000000007</v>
      </c>
      <c r="V113" s="148">
        <v>0.38600000000000001</v>
      </c>
      <c r="W113" s="147">
        <v>1.17</v>
      </c>
      <c r="Z113" s="159">
        <v>45703</v>
      </c>
      <c r="AA113" s="40">
        <v>78.338999999999999</v>
      </c>
    </row>
    <row r="114" spans="1:27" ht="13.5" thickBot="1" x14ac:dyDescent="0.25">
      <c r="A114" s="76">
        <f t="shared" si="7"/>
        <v>46068</v>
      </c>
      <c r="B114" s="161">
        <f t="shared" si="8"/>
        <v>75.58</v>
      </c>
      <c r="C114" s="162">
        <f t="shared" si="5"/>
        <v>4142</v>
      </c>
      <c r="D114" s="72"/>
      <c r="E114" s="78">
        <f t="shared" si="6"/>
        <v>2.4979051509319561E-2</v>
      </c>
      <c r="S114" s="151">
        <v>43312</v>
      </c>
      <c r="T114" s="146">
        <v>95.344999999999999</v>
      </c>
      <c r="U114" s="146">
        <v>95.381</v>
      </c>
      <c r="V114" s="148">
        <v>0.378</v>
      </c>
      <c r="W114" s="147">
        <v>1.25</v>
      </c>
      <c r="Z114" s="159">
        <v>45792</v>
      </c>
      <c r="AA114" s="40">
        <v>77.216999999999999</v>
      </c>
    </row>
    <row r="115" spans="1:27" ht="13.5" thickBot="1" x14ac:dyDescent="0.25">
      <c r="A115" s="76">
        <f t="shared" si="7"/>
        <v>46157</v>
      </c>
      <c r="B115" s="161">
        <f t="shared" si="8"/>
        <v>74.459999999999994</v>
      </c>
      <c r="C115" s="162">
        <f t="shared" si="5"/>
        <v>4231</v>
      </c>
      <c r="D115" s="72"/>
      <c r="E115" s="78">
        <f t="shared" si="6"/>
        <v>2.5767527710983451E-2</v>
      </c>
      <c r="S115" s="151">
        <v>43327</v>
      </c>
      <c r="T115" s="146">
        <v>95.616</v>
      </c>
      <c r="U115" s="146">
        <v>95.652000000000001</v>
      </c>
      <c r="V115" s="148">
        <v>0.374</v>
      </c>
      <c r="W115" s="147">
        <v>1.1599999999999999</v>
      </c>
      <c r="Z115" s="159">
        <v>45884</v>
      </c>
      <c r="AA115" s="40">
        <v>76.984999999999999</v>
      </c>
    </row>
    <row r="116" spans="1:27" ht="13.5" thickBot="1" x14ac:dyDescent="0.25">
      <c r="A116" s="76">
        <f t="shared" si="7"/>
        <v>46249</v>
      </c>
      <c r="B116" s="161">
        <f t="shared" si="8"/>
        <v>74.29249999999999</v>
      </c>
      <c r="C116" s="162">
        <f t="shared" si="5"/>
        <v>4323</v>
      </c>
      <c r="D116" s="72"/>
      <c r="E116" s="78">
        <f t="shared" si="6"/>
        <v>2.5407259827767259E-2</v>
      </c>
      <c r="S116" s="151">
        <v>43327</v>
      </c>
      <c r="T116" s="146">
        <v>95.516000000000005</v>
      </c>
      <c r="U116" s="146">
        <v>95.552000000000007</v>
      </c>
      <c r="V116" s="148">
        <v>0.38300000000000001</v>
      </c>
      <c r="W116" s="147">
        <v>1.19</v>
      </c>
      <c r="Z116" s="159">
        <v>45976</v>
      </c>
      <c r="AA116" s="40">
        <v>75.801000000000002</v>
      </c>
    </row>
    <row r="117" spans="1:27" ht="13.5" thickBot="1" x14ac:dyDescent="0.25">
      <c r="A117" s="76">
        <f t="shared" si="7"/>
        <v>46341</v>
      </c>
      <c r="B117" s="161">
        <f t="shared" si="8"/>
        <v>73.640999999999991</v>
      </c>
      <c r="C117" s="162">
        <f t="shared" si="5"/>
        <v>4415</v>
      </c>
      <c r="D117" s="72"/>
      <c r="E117" s="78">
        <f t="shared" si="6"/>
        <v>2.5617862224023735E-2</v>
      </c>
      <c r="S117" s="151">
        <v>43343</v>
      </c>
      <c r="T117" s="146">
        <v>95.697999999999993</v>
      </c>
      <c r="U117" s="146">
        <v>95.733999999999995</v>
      </c>
      <c r="V117" s="148">
        <v>0.39700000000000002</v>
      </c>
      <c r="W117" s="147">
        <v>1.1299999999999999</v>
      </c>
      <c r="Z117" s="159">
        <v>46068</v>
      </c>
      <c r="AA117" s="40">
        <v>75.58</v>
      </c>
    </row>
    <row r="118" spans="1:27" ht="13.5" thickBot="1" x14ac:dyDescent="0.25">
      <c r="A118" s="76">
        <f t="shared" si="7"/>
        <v>46433</v>
      </c>
      <c r="B118" s="161">
        <f t="shared" si="8"/>
        <v>72.965000000000003</v>
      </c>
      <c r="C118" s="162">
        <f t="shared" si="5"/>
        <v>4507</v>
      </c>
      <c r="D118" s="72"/>
      <c r="E118" s="78">
        <f t="shared" si="6"/>
        <v>2.5854300871142266E-2</v>
      </c>
      <c r="S118" s="151">
        <v>43343</v>
      </c>
      <c r="T118" s="146">
        <v>95.284999999999997</v>
      </c>
      <c r="U118" s="146">
        <v>95.322000000000003</v>
      </c>
      <c r="V118" s="148">
        <v>0.38600000000000001</v>
      </c>
      <c r="W118" s="147">
        <v>1.24</v>
      </c>
      <c r="Z118" s="159">
        <v>46157</v>
      </c>
      <c r="AA118" s="40">
        <v>74.459999999999994</v>
      </c>
    </row>
    <row r="119" spans="1:27" ht="13.5" thickBot="1" x14ac:dyDescent="0.25">
      <c r="A119" s="76">
        <f t="shared" si="7"/>
        <v>46522</v>
      </c>
      <c r="B119" s="161">
        <f t="shared" si="8"/>
        <v>71.849000000000004</v>
      </c>
      <c r="C119" s="162">
        <f t="shared" si="5"/>
        <v>4596</v>
      </c>
      <c r="D119" s="72"/>
      <c r="E119" s="78">
        <f t="shared" si="6"/>
        <v>2.6603211279307315E-2</v>
      </c>
      <c r="S119" s="151">
        <v>43373</v>
      </c>
      <c r="T119" s="146">
        <v>95.491</v>
      </c>
      <c r="U119" s="146">
        <v>95.528999999999996</v>
      </c>
      <c r="V119" s="148">
        <v>0.40400000000000003</v>
      </c>
      <c r="W119" s="147">
        <v>1.1599999999999999</v>
      </c>
      <c r="Z119" s="159">
        <v>46249</v>
      </c>
      <c r="AA119" s="40">
        <v>74.29249999999999</v>
      </c>
    </row>
    <row r="120" spans="1:27" ht="13.5" thickBot="1" x14ac:dyDescent="0.25">
      <c r="A120" s="76">
        <f t="shared" si="7"/>
        <v>46614</v>
      </c>
      <c r="B120" s="161">
        <f t="shared" si="8"/>
        <v>71.697499999999991</v>
      </c>
      <c r="C120" s="162">
        <f t="shared" si="5"/>
        <v>4688</v>
      </c>
      <c r="D120" s="72"/>
      <c r="E120" s="78">
        <f t="shared" si="6"/>
        <v>2.6243030819573132E-2</v>
      </c>
      <c r="S120" s="151">
        <v>43373</v>
      </c>
      <c r="T120" s="146">
        <v>95.186000000000007</v>
      </c>
      <c r="U120" s="146">
        <v>95.224000000000004</v>
      </c>
      <c r="V120" s="148">
        <v>0.39300000000000002</v>
      </c>
      <c r="W120" s="147">
        <v>1.24</v>
      </c>
      <c r="Z120" s="159">
        <v>46341</v>
      </c>
      <c r="AA120" s="40">
        <v>73.640999999999991</v>
      </c>
    </row>
    <row r="121" spans="1:27" ht="13.5" thickBot="1" x14ac:dyDescent="0.25">
      <c r="A121" s="76">
        <f t="shared" si="7"/>
        <v>46706</v>
      </c>
      <c r="B121" s="161">
        <f t="shared" si="8"/>
        <v>71.004500000000007</v>
      </c>
      <c r="C121" s="162">
        <f t="shared" si="5"/>
        <v>4780</v>
      </c>
      <c r="D121" s="72"/>
      <c r="E121" s="78">
        <f t="shared" si="6"/>
        <v>2.6492512366186771E-2</v>
      </c>
      <c r="S121" s="151">
        <v>43404</v>
      </c>
      <c r="T121" s="146">
        <v>94.998999999999995</v>
      </c>
      <c r="U121" s="146">
        <v>95.037000000000006</v>
      </c>
      <c r="V121" s="148">
        <v>0.379</v>
      </c>
      <c r="W121" s="147">
        <v>1.26</v>
      </c>
      <c r="Z121" s="159">
        <v>46433</v>
      </c>
      <c r="AA121" s="40">
        <v>72.965000000000003</v>
      </c>
    </row>
    <row r="122" spans="1:27" ht="13.5" thickBot="1" x14ac:dyDescent="0.25">
      <c r="A122" s="76">
        <f t="shared" si="7"/>
        <v>46798</v>
      </c>
      <c r="B122" s="161">
        <f t="shared" si="8"/>
        <v>69.915999999999997</v>
      </c>
      <c r="C122" s="162">
        <f t="shared" si="5"/>
        <v>4872</v>
      </c>
      <c r="D122" s="72"/>
      <c r="E122" s="78">
        <f t="shared" si="6"/>
        <v>2.7173949148149967E-2</v>
      </c>
      <c r="S122" s="151">
        <v>43404</v>
      </c>
      <c r="T122" s="146">
        <v>95.05</v>
      </c>
      <c r="U122" s="146">
        <v>95.088999999999999</v>
      </c>
      <c r="V122" s="148">
        <v>0.41399999999999998</v>
      </c>
      <c r="W122" s="147">
        <v>1.25</v>
      </c>
      <c r="Z122" s="159">
        <v>46522</v>
      </c>
      <c r="AA122" s="40">
        <v>71.849000000000004</v>
      </c>
    </row>
    <row r="123" spans="1:27" ht="13.5" thickBot="1" x14ac:dyDescent="0.25">
      <c r="A123" s="76">
        <f t="shared" si="7"/>
        <v>46888</v>
      </c>
      <c r="B123" s="161">
        <f t="shared" si="8"/>
        <v>69.331999999999994</v>
      </c>
      <c r="C123" s="162">
        <f t="shared" si="5"/>
        <v>4962</v>
      </c>
      <c r="D123" s="72"/>
      <c r="E123" s="78">
        <f t="shared" si="6"/>
        <v>2.7308221187168025E-2</v>
      </c>
      <c r="S123" s="151">
        <v>43404</v>
      </c>
      <c r="T123" s="146">
        <v>94.724000000000004</v>
      </c>
      <c r="U123" s="146">
        <v>94.762</v>
      </c>
      <c r="V123" s="148">
        <v>0.4</v>
      </c>
      <c r="W123" s="147">
        <v>1.34</v>
      </c>
      <c r="Z123" s="159">
        <v>46614</v>
      </c>
      <c r="AA123" s="40">
        <v>71.697499999999991</v>
      </c>
    </row>
    <row r="124" spans="1:27" ht="13.5" thickBot="1" x14ac:dyDescent="0.25">
      <c r="A124" s="76">
        <f t="shared" si="7"/>
        <v>46980</v>
      </c>
      <c r="B124" s="161">
        <f t="shared" si="8"/>
        <v>69.245000000000005</v>
      </c>
      <c r="C124" s="162">
        <f t="shared" si="5"/>
        <v>5054</v>
      </c>
      <c r="D124" s="72"/>
      <c r="E124" s="78">
        <f t="shared" si="6"/>
        <v>2.6897631384031673E-2</v>
      </c>
      <c r="S124" s="151">
        <v>43419</v>
      </c>
      <c r="T124" s="146">
        <v>95.057000000000002</v>
      </c>
      <c r="U124" s="146">
        <v>95.094999999999999</v>
      </c>
      <c r="V124" s="148">
        <v>0.40500000000000003</v>
      </c>
      <c r="W124" s="147">
        <v>1.24</v>
      </c>
      <c r="Z124" s="159">
        <v>46706</v>
      </c>
      <c r="AA124" s="40">
        <v>71.004500000000007</v>
      </c>
    </row>
    <row r="125" spans="1:27" ht="13.5" thickBot="1" x14ac:dyDescent="0.25">
      <c r="A125" s="76">
        <f t="shared" si="7"/>
        <v>47072</v>
      </c>
      <c r="B125" s="161">
        <f t="shared" si="8"/>
        <v>68.680000000000007</v>
      </c>
      <c r="C125" s="162">
        <f t="shared" si="5"/>
        <v>5146</v>
      </c>
      <c r="D125" s="72"/>
      <c r="E125" s="78">
        <f t="shared" si="6"/>
        <v>2.7007096439785938E-2</v>
      </c>
      <c r="S125" s="151">
        <v>43419</v>
      </c>
      <c r="T125" s="146">
        <v>94.941000000000003</v>
      </c>
      <c r="U125" s="146">
        <v>94.98</v>
      </c>
      <c r="V125" s="148">
        <v>0.39500000000000002</v>
      </c>
      <c r="W125" s="147">
        <v>1.26</v>
      </c>
      <c r="Z125" s="159">
        <v>46798</v>
      </c>
      <c r="AA125" s="40">
        <v>69.915999999999997</v>
      </c>
    </row>
    <row r="126" spans="1:27" ht="13.5" thickBot="1" x14ac:dyDescent="0.25">
      <c r="A126" s="76">
        <f t="shared" si="7"/>
        <v>47164</v>
      </c>
      <c r="B126" s="161">
        <f t="shared" si="8"/>
        <v>68.006</v>
      </c>
      <c r="C126" s="162">
        <f t="shared" si="5"/>
        <v>5238</v>
      </c>
      <c r="D126" s="72"/>
      <c r="E126" s="78">
        <f t="shared" si="6"/>
        <v>2.7232202504277048E-2</v>
      </c>
      <c r="S126" s="151">
        <v>43419</v>
      </c>
      <c r="T126" s="146">
        <v>94.864000000000004</v>
      </c>
      <c r="U126" s="146">
        <v>94.903000000000006</v>
      </c>
      <c r="V126" s="148">
        <v>0.40400000000000003</v>
      </c>
      <c r="W126" s="147">
        <v>1.28</v>
      </c>
      <c r="Z126" s="159">
        <v>46888</v>
      </c>
      <c r="AA126" s="40">
        <v>69.331999999999994</v>
      </c>
    </row>
    <row r="127" spans="1:27" ht="13.5" thickBot="1" x14ac:dyDescent="0.25">
      <c r="A127" s="76">
        <f t="shared" si="7"/>
        <v>47253</v>
      </c>
      <c r="B127" s="161">
        <f t="shared" si="8"/>
        <v>66.908000000000001</v>
      </c>
      <c r="C127" s="162">
        <f t="shared" si="5"/>
        <v>5327</v>
      </c>
      <c r="D127" s="72"/>
      <c r="E127" s="78">
        <f t="shared" si="6"/>
        <v>2.7916994420403851E-2</v>
      </c>
      <c r="S127" s="151">
        <v>43434</v>
      </c>
      <c r="T127" s="146">
        <v>94.840999999999994</v>
      </c>
      <c r="U127" s="146">
        <v>94.88</v>
      </c>
      <c r="V127" s="148">
        <v>0.4</v>
      </c>
      <c r="W127" s="147">
        <v>1.28</v>
      </c>
      <c r="Z127" s="159">
        <v>46980</v>
      </c>
      <c r="AA127" s="40">
        <v>69.245000000000005</v>
      </c>
    </row>
    <row r="128" spans="1:27" ht="13.5" thickBot="1" x14ac:dyDescent="0.25">
      <c r="A128" s="76">
        <f t="shared" si="7"/>
        <v>47345</v>
      </c>
      <c r="B128" s="161">
        <f t="shared" si="8"/>
        <v>66.89</v>
      </c>
      <c r="C128" s="162">
        <f t="shared" si="5"/>
        <v>5419</v>
      </c>
      <c r="D128" s="72"/>
      <c r="E128" s="78">
        <f t="shared" si="6"/>
        <v>2.7455216732625409E-2</v>
      </c>
      <c r="S128" s="151">
        <v>43434</v>
      </c>
      <c r="T128" s="146">
        <v>94.876999999999995</v>
      </c>
      <c r="U128" s="146">
        <v>94.915999999999997</v>
      </c>
      <c r="V128" s="148">
        <v>0.434</v>
      </c>
      <c r="W128" s="147">
        <v>1.27</v>
      </c>
      <c r="Z128" s="159">
        <v>47072</v>
      </c>
      <c r="AA128" s="40">
        <v>68.680000000000007</v>
      </c>
    </row>
    <row r="129" spans="1:27" ht="13.5" thickBot="1" x14ac:dyDescent="0.25">
      <c r="A129" s="76">
        <f t="shared" si="7"/>
        <v>47437</v>
      </c>
      <c r="B129" s="161">
        <f t="shared" si="8"/>
        <v>65.796000000000006</v>
      </c>
      <c r="C129" s="162">
        <f t="shared" ref="C129:C187" si="9">A129-$B$2</f>
        <v>5511</v>
      </c>
      <c r="D129" s="72"/>
      <c r="E129" s="78">
        <f t="shared" ref="E129:E187" si="10">(100/B129)^(365/C129)-1</f>
        <v>2.8113024749309767E-2</v>
      </c>
      <c r="S129" s="151">
        <v>43434</v>
      </c>
      <c r="T129" s="146">
        <v>94.629000000000005</v>
      </c>
      <c r="U129" s="146">
        <v>94.668000000000006</v>
      </c>
      <c r="V129" s="148">
        <v>0.40799999999999997</v>
      </c>
      <c r="W129" s="147">
        <v>1.33</v>
      </c>
      <c r="Z129" s="159">
        <v>47164</v>
      </c>
      <c r="AA129" s="40">
        <v>68.006</v>
      </c>
    </row>
    <row r="130" spans="1:27" ht="13.5" thickBot="1" x14ac:dyDescent="0.25">
      <c r="A130" s="76">
        <f t="shared" si="7"/>
        <v>47529</v>
      </c>
      <c r="B130" s="161">
        <f t="shared" si="8"/>
        <v>65.266999999999996</v>
      </c>
      <c r="C130" s="162">
        <f t="shared" si="9"/>
        <v>5603</v>
      </c>
      <c r="D130" s="72"/>
      <c r="E130" s="78">
        <f t="shared" si="10"/>
        <v>2.8185645110646362E-2</v>
      </c>
      <c r="S130" s="151">
        <v>43465</v>
      </c>
      <c r="T130" s="146">
        <v>94.620999999999995</v>
      </c>
      <c r="U130" s="146">
        <v>94.66</v>
      </c>
      <c r="V130" s="148">
        <v>0.40699999999999997</v>
      </c>
      <c r="W130" s="147">
        <v>1.31</v>
      </c>
      <c r="Z130" s="159">
        <v>47253</v>
      </c>
      <c r="AA130" s="40">
        <v>66.908000000000001</v>
      </c>
    </row>
    <row r="131" spans="1:27" ht="13.5" thickBot="1" x14ac:dyDescent="0.25">
      <c r="A131" s="76">
        <f t="shared" si="7"/>
        <v>47618</v>
      </c>
      <c r="B131" s="161">
        <f t="shared" si="8"/>
        <v>65.317499999999995</v>
      </c>
      <c r="C131" s="162">
        <f t="shared" si="9"/>
        <v>5692</v>
      </c>
      <c r="D131" s="72"/>
      <c r="E131" s="78">
        <f t="shared" si="10"/>
        <v>2.7687906929148909E-2</v>
      </c>
      <c r="S131" s="151">
        <v>43465</v>
      </c>
      <c r="T131" s="146">
        <v>94.513000000000005</v>
      </c>
      <c r="U131" s="146">
        <v>94.552999999999997</v>
      </c>
      <c r="V131" s="148">
        <v>0.41499999999999998</v>
      </c>
      <c r="W131" s="147">
        <v>1.34</v>
      </c>
      <c r="Z131" s="159">
        <v>47345</v>
      </c>
      <c r="AA131" s="40">
        <v>66.89</v>
      </c>
    </row>
    <row r="132" spans="1:27" ht="13.5" thickBot="1" x14ac:dyDescent="0.25">
      <c r="A132" s="76">
        <f t="shared" si="7"/>
        <v>47710</v>
      </c>
      <c r="B132" s="161">
        <f t="shared" si="8"/>
        <v>64.239999999999995</v>
      </c>
      <c r="C132" s="162">
        <f t="shared" si="9"/>
        <v>5784</v>
      </c>
      <c r="D132" s="72"/>
      <c r="E132" s="78">
        <f t="shared" si="10"/>
        <v>2.8320407059945651E-2</v>
      </c>
      <c r="S132" s="151">
        <v>43496</v>
      </c>
      <c r="T132" s="146">
        <v>94.430999999999997</v>
      </c>
      <c r="U132" s="146">
        <v>94.471000000000004</v>
      </c>
      <c r="V132" s="148">
        <v>0.42499999999999999</v>
      </c>
      <c r="W132" s="147">
        <v>1.33</v>
      </c>
      <c r="Z132" s="159">
        <v>47437</v>
      </c>
      <c r="AA132" s="40">
        <v>65.796000000000006</v>
      </c>
    </row>
    <row r="133" spans="1:27" ht="13.5" thickBot="1" x14ac:dyDescent="0.25">
      <c r="A133" s="76">
        <f t="shared" si="7"/>
        <v>47802</v>
      </c>
      <c r="B133" s="161">
        <f t="shared" si="8"/>
        <v>63.716999999999999</v>
      </c>
      <c r="C133" s="162">
        <f t="shared" si="9"/>
        <v>5876</v>
      </c>
      <c r="D133" s="72"/>
      <c r="E133" s="78">
        <f t="shared" si="10"/>
        <v>2.8392946436609279E-2</v>
      </c>
      <c r="S133" s="151">
        <v>43496</v>
      </c>
      <c r="T133" s="146">
        <v>94.245999999999995</v>
      </c>
      <c r="U133" s="146">
        <v>94.286000000000001</v>
      </c>
      <c r="V133" s="148">
        <v>0.432</v>
      </c>
      <c r="W133" s="147">
        <v>1.38</v>
      </c>
      <c r="Z133" s="159">
        <v>47529</v>
      </c>
      <c r="AA133" s="40">
        <v>65.266999999999996</v>
      </c>
    </row>
    <row r="134" spans="1:27" ht="13.5" thickBot="1" x14ac:dyDescent="0.25">
      <c r="A134" s="76">
        <f t="shared" ref="A134:A187" si="11">Z137</f>
        <v>47894</v>
      </c>
      <c r="B134" s="161">
        <f t="shared" ref="B134:B187" si="12">AA137</f>
        <v>63.709000000000003</v>
      </c>
      <c r="C134" s="162">
        <f t="shared" si="9"/>
        <v>5968</v>
      </c>
      <c r="D134" s="72"/>
      <c r="E134" s="78">
        <f t="shared" si="10"/>
        <v>2.7957087661969027E-2</v>
      </c>
      <c r="S134" s="151">
        <v>43511</v>
      </c>
      <c r="T134" s="146">
        <v>94.466999999999999</v>
      </c>
      <c r="U134" s="146">
        <v>94.507000000000005</v>
      </c>
      <c r="V134" s="148">
        <v>0.437</v>
      </c>
      <c r="W134" s="147">
        <v>1.31</v>
      </c>
      <c r="Z134" s="159">
        <v>47618</v>
      </c>
      <c r="AA134" s="40">
        <v>65.317499999999995</v>
      </c>
    </row>
    <row r="135" spans="1:27" ht="13.5" thickBot="1" x14ac:dyDescent="0.25">
      <c r="A135" s="76">
        <f t="shared" si="11"/>
        <v>47983</v>
      </c>
      <c r="B135" s="161">
        <f t="shared" si="12"/>
        <v>62.651000000000003</v>
      </c>
      <c r="C135" s="162">
        <f t="shared" si="9"/>
        <v>6057</v>
      </c>
      <c r="D135" s="72"/>
      <c r="E135" s="78">
        <f t="shared" si="10"/>
        <v>2.8578144184513654E-2</v>
      </c>
      <c r="S135" s="151">
        <v>43511</v>
      </c>
      <c r="T135" s="146">
        <v>94.304000000000002</v>
      </c>
      <c r="U135" s="146">
        <v>94.344999999999999</v>
      </c>
      <c r="V135" s="148">
        <v>0.42599999999999999</v>
      </c>
      <c r="W135" s="147">
        <v>1.35</v>
      </c>
      <c r="Z135" s="159">
        <v>47710</v>
      </c>
      <c r="AA135" s="40">
        <v>64.239999999999995</v>
      </c>
    </row>
    <row r="136" spans="1:27" ht="13.5" thickBot="1" x14ac:dyDescent="0.25">
      <c r="A136" s="76">
        <f t="shared" si="11"/>
        <v>48075</v>
      </c>
      <c r="B136" s="161">
        <f t="shared" si="12"/>
        <v>62.133000000000003</v>
      </c>
      <c r="C136" s="162">
        <f t="shared" si="9"/>
        <v>6149</v>
      </c>
      <c r="D136" s="72"/>
      <c r="E136" s="78">
        <f t="shared" si="10"/>
        <v>2.8651422325172371E-2</v>
      </c>
      <c r="S136" s="151">
        <v>43511</v>
      </c>
      <c r="T136" s="146">
        <v>94.263999999999996</v>
      </c>
      <c r="U136" s="146">
        <v>94.304000000000002</v>
      </c>
      <c r="V136" s="148">
        <v>0.437</v>
      </c>
      <c r="W136" s="147">
        <v>1.36</v>
      </c>
      <c r="Z136" s="159">
        <v>47802</v>
      </c>
      <c r="AA136" s="40">
        <v>63.716999999999999</v>
      </c>
    </row>
    <row r="137" spans="1:27" ht="13.5" thickBot="1" x14ac:dyDescent="0.25">
      <c r="A137" s="76">
        <f t="shared" si="11"/>
        <v>48167</v>
      </c>
      <c r="B137" s="161">
        <f t="shared" si="12"/>
        <v>61.618000000000002</v>
      </c>
      <c r="C137" s="162">
        <f t="shared" si="9"/>
        <v>6241</v>
      </c>
      <c r="D137" s="72"/>
      <c r="E137" s="78">
        <f t="shared" si="10"/>
        <v>2.8723797592232314E-2</v>
      </c>
      <c r="S137" s="151">
        <v>43524</v>
      </c>
      <c r="T137" s="146">
        <v>94.180999999999997</v>
      </c>
      <c r="U137" s="146">
        <v>94.221999999999994</v>
      </c>
      <c r="V137" s="148">
        <v>0.432</v>
      </c>
      <c r="W137" s="147">
        <v>1.37</v>
      </c>
      <c r="Z137" s="159">
        <v>47894</v>
      </c>
      <c r="AA137" s="40">
        <v>63.709000000000003</v>
      </c>
    </row>
    <row r="138" spans="1:27" ht="13.5" thickBot="1" x14ac:dyDescent="0.25">
      <c r="A138" s="76">
        <f t="shared" si="11"/>
        <v>48259</v>
      </c>
      <c r="B138" s="161">
        <f t="shared" si="12"/>
        <v>61.103999999999999</v>
      </c>
      <c r="C138" s="162">
        <f t="shared" si="9"/>
        <v>6333</v>
      </c>
      <c r="D138" s="72"/>
      <c r="E138" s="78">
        <f t="shared" si="10"/>
        <v>2.8797246699507451E-2</v>
      </c>
      <c r="S138" s="151">
        <v>43524</v>
      </c>
      <c r="T138" s="146">
        <v>94.006</v>
      </c>
      <c r="U138" s="146">
        <v>94.046999999999997</v>
      </c>
      <c r="V138" s="148">
        <v>0.439</v>
      </c>
      <c r="W138" s="147">
        <v>1.41</v>
      </c>
      <c r="Z138" s="159">
        <v>47983</v>
      </c>
      <c r="AA138" s="40">
        <v>62.651000000000003</v>
      </c>
    </row>
    <row r="139" spans="1:27" ht="13.5" thickBot="1" x14ac:dyDescent="0.25">
      <c r="A139" s="76">
        <f t="shared" si="11"/>
        <v>48349</v>
      </c>
      <c r="B139" s="161">
        <f t="shared" si="12"/>
        <v>60.593000000000004</v>
      </c>
      <c r="C139" s="162">
        <f t="shared" si="9"/>
        <v>6423</v>
      </c>
      <c r="D139" s="72"/>
      <c r="E139" s="78">
        <f t="shared" si="10"/>
        <v>2.8878957550258821E-2</v>
      </c>
      <c r="S139" s="151">
        <v>43555</v>
      </c>
      <c r="T139" s="146">
        <v>94.024000000000001</v>
      </c>
      <c r="U139" s="146">
        <v>94.066000000000003</v>
      </c>
      <c r="V139" s="148">
        <v>0.439</v>
      </c>
      <c r="W139" s="147">
        <v>1.38</v>
      </c>
      <c r="Z139" s="159">
        <v>48075</v>
      </c>
      <c r="AA139" s="40">
        <v>62.133000000000003</v>
      </c>
    </row>
    <row r="140" spans="1:27" ht="13.5" thickBot="1" x14ac:dyDescent="0.25">
      <c r="A140" s="76">
        <f t="shared" si="11"/>
        <v>48441</v>
      </c>
      <c r="B140" s="161">
        <f t="shared" si="12"/>
        <v>60.082999999999998</v>
      </c>
      <c r="C140" s="162">
        <f t="shared" si="9"/>
        <v>6515</v>
      </c>
      <c r="D140" s="72"/>
      <c r="E140" s="78">
        <f t="shared" si="10"/>
        <v>2.8952539718073433E-2</v>
      </c>
      <c r="S140" s="151">
        <v>43555</v>
      </c>
      <c r="T140" s="146">
        <v>93.896000000000001</v>
      </c>
      <c r="U140" s="146">
        <v>93.936999999999998</v>
      </c>
      <c r="V140" s="148">
        <v>0.44700000000000001</v>
      </c>
      <c r="W140" s="147">
        <v>1.41</v>
      </c>
      <c r="Z140" s="159">
        <v>48167</v>
      </c>
      <c r="AA140" s="40">
        <v>61.618000000000002</v>
      </c>
    </row>
    <row r="141" spans="1:27" ht="13.5" thickBot="1" x14ac:dyDescent="0.25">
      <c r="A141" s="76">
        <f t="shared" si="11"/>
        <v>48533</v>
      </c>
      <c r="B141" s="161">
        <f t="shared" si="12"/>
        <v>59.576000000000001</v>
      </c>
      <c r="C141" s="162">
        <f t="shared" si="9"/>
        <v>6607</v>
      </c>
      <c r="D141" s="72"/>
      <c r="E141" s="78">
        <f t="shared" si="10"/>
        <v>2.902531109417561E-2</v>
      </c>
      <c r="S141" s="151">
        <v>43585</v>
      </c>
      <c r="T141" s="146">
        <v>93.891000000000005</v>
      </c>
      <c r="U141" s="146">
        <v>93.933000000000007</v>
      </c>
      <c r="V141" s="148">
        <v>0.45600000000000002</v>
      </c>
      <c r="W141" s="147">
        <v>1.38</v>
      </c>
      <c r="Z141" s="159">
        <v>48259</v>
      </c>
      <c r="AA141" s="40">
        <v>61.103999999999999</v>
      </c>
    </row>
    <row r="142" spans="1:27" ht="13.5" thickBot="1" x14ac:dyDescent="0.25">
      <c r="A142" s="76">
        <f t="shared" si="11"/>
        <v>48625</v>
      </c>
      <c r="B142" s="161">
        <f t="shared" si="12"/>
        <v>59.070999999999998</v>
      </c>
      <c r="C142" s="162">
        <f t="shared" si="9"/>
        <v>6699</v>
      </c>
      <c r="D142" s="72"/>
      <c r="E142" s="78">
        <f t="shared" si="10"/>
        <v>2.9098251102861239E-2</v>
      </c>
      <c r="S142" s="151">
        <v>43585</v>
      </c>
      <c r="T142" s="146">
        <v>93.424999999999997</v>
      </c>
      <c r="U142" s="146">
        <v>93.466999999999999</v>
      </c>
      <c r="V142" s="148">
        <v>0.45300000000000001</v>
      </c>
      <c r="W142" s="147">
        <v>1.49</v>
      </c>
      <c r="Z142" s="159">
        <v>48349</v>
      </c>
      <c r="AA142" s="40">
        <v>60.593000000000004</v>
      </c>
    </row>
    <row r="143" spans="1:27" ht="13.5" thickBot="1" x14ac:dyDescent="0.25">
      <c r="A143" s="76">
        <f t="shared" si="11"/>
        <v>48714</v>
      </c>
      <c r="B143" s="161">
        <f t="shared" si="12"/>
        <v>58.567999999999998</v>
      </c>
      <c r="C143" s="162">
        <f t="shared" si="9"/>
        <v>6788</v>
      </c>
      <c r="D143" s="72"/>
      <c r="E143" s="78">
        <f t="shared" si="10"/>
        <v>2.9184452557061924E-2</v>
      </c>
      <c r="S143" s="151">
        <v>43600</v>
      </c>
      <c r="T143" s="146">
        <v>93.686999999999998</v>
      </c>
      <c r="U143" s="146">
        <v>93.728999999999999</v>
      </c>
      <c r="V143" s="148">
        <v>0.44800000000000001</v>
      </c>
      <c r="W143" s="147">
        <v>1.42</v>
      </c>
      <c r="Z143" s="159">
        <v>48441</v>
      </c>
      <c r="AA143" s="40">
        <v>60.082999999999998</v>
      </c>
    </row>
    <row r="144" spans="1:27" ht="13.5" thickBot="1" x14ac:dyDescent="0.25">
      <c r="A144" s="76">
        <f t="shared" si="11"/>
        <v>48806</v>
      </c>
      <c r="B144" s="161">
        <f t="shared" si="12"/>
        <v>58.067</v>
      </c>
      <c r="C144" s="162">
        <f t="shared" si="9"/>
        <v>6880</v>
      </c>
      <c r="D144" s="72"/>
      <c r="E144" s="78">
        <f t="shared" si="10"/>
        <v>2.9257629429929377E-2</v>
      </c>
      <c r="S144" s="151">
        <v>43600</v>
      </c>
      <c r="T144" s="146">
        <v>93.58</v>
      </c>
      <c r="U144" s="146">
        <v>93.623000000000005</v>
      </c>
      <c r="V144" s="148">
        <v>0.45800000000000002</v>
      </c>
      <c r="W144" s="147">
        <v>1.44</v>
      </c>
      <c r="Z144" s="159">
        <v>48533</v>
      </c>
      <c r="AA144" s="40">
        <v>59.576000000000001</v>
      </c>
    </row>
    <row r="145" spans="1:27" ht="13.5" thickBot="1" x14ac:dyDescent="0.25">
      <c r="A145" s="76">
        <f t="shared" si="11"/>
        <v>48898</v>
      </c>
      <c r="B145" s="161">
        <f t="shared" si="12"/>
        <v>57.567999999999998</v>
      </c>
      <c r="C145" s="162">
        <f t="shared" si="9"/>
        <v>6972</v>
      </c>
      <c r="D145" s="72"/>
      <c r="E145" s="78">
        <f t="shared" si="10"/>
        <v>2.9331019544186265E-2</v>
      </c>
      <c r="S145" s="151">
        <v>43616</v>
      </c>
      <c r="T145" s="146">
        <v>93.593000000000004</v>
      </c>
      <c r="U145" s="146">
        <v>93.635999999999996</v>
      </c>
      <c r="V145" s="148">
        <v>0.44700000000000001</v>
      </c>
      <c r="W145" s="147">
        <v>1.43</v>
      </c>
      <c r="Z145" s="159">
        <v>48625</v>
      </c>
      <c r="AA145" s="40">
        <v>59.070999999999998</v>
      </c>
    </row>
    <row r="146" spans="1:27" ht="13.5" thickBot="1" x14ac:dyDescent="0.25">
      <c r="A146" s="76">
        <f t="shared" si="11"/>
        <v>48990</v>
      </c>
      <c r="B146" s="161">
        <f t="shared" si="12"/>
        <v>57.072000000000003</v>
      </c>
      <c r="C146" s="162">
        <f t="shared" si="9"/>
        <v>7064</v>
      </c>
      <c r="D146" s="72"/>
      <c r="E146" s="78">
        <f t="shared" si="10"/>
        <v>2.9403703581787344E-2</v>
      </c>
      <c r="S146" s="151">
        <v>43616</v>
      </c>
      <c r="T146" s="146">
        <v>93.31</v>
      </c>
      <c r="U146" s="146">
        <v>93.352999999999994</v>
      </c>
      <c r="V146" s="148">
        <v>0.46100000000000002</v>
      </c>
      <c r="W146" s="147">
        <v>1.49</v>
      </c>
      <c r="Z146" s="159">
        <v>48714</v>
      </c>
      <c r="AA146" s="40">
        <v>58.567999999999998</v>
      </c>
    </row>
    <row r="147" spans="1:27" ht="13.5" thickBot="1" x14ac:dyDescent="0.25">
      <c r="A147" s="76">
        <f t="shared" si="11"/>
        <v>49079</v>
      </c>
      <c r="B147" s="161">
        <f t="shared" si="12"/>
        <v>56.604999999999997</v>
      </c>
      <c r="C147" s="162">
        <f t="shared" si="9"/>
        <v>7153</v>
      </c>
      <c r="D147" s="72"/>
      <c r="E147" s="78">
        <f t="shared" si="10"/>
        <v>2.9464113724512409E-2</v>
      </c>
      <c r="S147" s="151">
        <v>43646</v>
      </c>
      <c r="T147" s="146">
        <v>93.370999999999995</v>
      </c>
      <c r="U147" s="146">
        <v>93.415000000000006</v>
      </c>
      <c r="V147" s="148">
        <v>0.46899999999999997</v>
      </c>
      <c r="W147" s="147">
        <v>1.45</v>
      </c>
      <c r="Z147" s="159">
        <v>48806</v>
      </c>
      <c r="AA147" s="40">
        <v>58.067</v>
      </c>
    </row>
    <row r="148" spans="1:27" ht="13.5" thickBot="1" x14ac:dyDescent="0.25">
      <c r="A148" s="76">
        <f t="shared" si="11"/>
        <v>49171</v>
      </c>
      <c r="B148" s="161">
        <f t="shared" si="12"/>
        <v>56.14</v>
      </c>
      <c r="C148" s="162">
        <f t="shared" si="9"/>
        <v>7245</v>
      </c>
      <c r="D148" s="72"/>
      <c r="E148" s="78">
        <f t="shared" si="10"/>
        <v>2.9512321598785141E-2</v>
      </c>
      <c r="S148" s="151">
        <v>43646</v>
      </c>
      <c r="T148" s="146">
        <v>93.192999999999998</v>
      </c>
      <c r="U148" s="146">
        <v>93.236999999999995</v>
      </c>
      <c r="V148" s="148">
        <v>0.46800000000000003</v>
      </c>
      <c r="W148" s="147">
        <v>1.49</v>
      </c>
      <c r="Z148" s="159">
        <v>48898</v>
      </c>
      <c r="AA148" s="40">
        <v>57.567999999999998</v>
      </c>
    </row>
    <row r="149" spans="1:27" ht="13.5" thickBot="1" x14ac:dyDescent="0.25">
      <c r="A149" s="76">
        <f t="shared" si="11"/>
        <v>49263</v>
      </c>
      <c r="B149" s="161">
        <f t="shared" si="12"/>
        <v>55.651000000000003</v>
      </c>
      <c r="C149" s="162">
        <f t="shared" si="9"/>
        <v>7337</v>
      </c>
      <c r="D149" s="72"/>
      <c r="E149" s="78">
        <f t="shared" si="10"/>
        <v>2.9584920614054155E-2</v>
      </c>
      <c r="S149" s="151">
        <v>43677</v>
      </c>
      <c r="T149" s="146">
        <v>93.182000000000002</v>
      </c>
      <c r="U149" s="146">
        <v>93.225999999999999</v>
      </c>
      <c r="V149" s="148">
        <v>0.48199999999999998</v>
      </c>
      <c r="W149" s="147">
        <v>1.47</v>
      </c>
      <c r="Z149" s="159">
        <v>48990</v>
      </c>
      <c r="AA149" s="40">
        <v>57.072000000000003</v>
      </c>
    </row>
    <row r="150" spans="1:27" ht="13.5" thickBot="1" x14ac:dyDescent="0.25">
      <c r="A150" s="76">
        <f t="shared" si="11"/>
        <v>49355</v>
      </c>
      <c r="B150" s="161">
        <f t="shared" si="12"/>
        <v>55.162999999999997</v>
      </c>
      <c r="C150" s="162">
        <f t="shared" si="9"/>
        <v>7429</v>
      </c>
      <c r="D150" s="72"/>
      <c r="E150" s="78">
        <f t="shared" si="10"/>
        <v>2.9658715456936324E-2</v>
      </c>
      <c r="S150" s="151">
        <v>43677</v>
      </c>
      <c r="T150" s="146">
        <v>92.965000000000003</v>
      </c>
      <c r="U150" s="146">
        <v>93.009</v>
      </c>
      <c r="V150" s="148">
        <v>0.47499999999999998</v>
      </c>
      <c r="W150" s="147">
        <v>1.52</v>
      </c>
      <c r="Z150" s="159">
        <v>49079</v>
      </c>
      <c r="AA150" s="40">
        <v>56.604999999999997</v>
      </c>
    </row>
    <row r="151" spans="1:27" ht="13.5" thickBot="1" x14ac:dyDescent="0.25">
      <c r="A151" s="76">
        <f t="shared" si="11"/>
        <v>49444</v>
      </c>
      <c r="B151" s="161">
        <f t="shared" si="12"/>
        <v>54.677999999999997</v>
      </c>
      <c r="C151" s="162">
        <f t="shared" si="9"/>
        <v>7518</v>
      </c>
      <c r="D151" s="72"/>
      <c r="E151" s="78">
        <f t="shared" si="10"/>
        <v>2.9743918181515117E-2</v>
      </c>
      <c r="S151" s="151">
        <v>43692</v>
      </c>
      <c r="T151" s="146">
        <v>93.265000000000001</v>
      </c>
      <c r="U151" s="146">
        <v>93.308999999999997</v>
      </c>
      <c r="V151" s="148">
        <v>0.48099999999999998</v>
      </c>
      <c r="W151" s="147">
        <v>1.44</v>
      </c>
      <c r="Z151" s="159">
        <v>49171</v>
      </c>
      <c r="AA151" s="40">
        <v>56.14</v>
      </c>
    </row>
    <row r="152" spans="1:27" ht="13.5" thickBot="1" x14ac:dyDescent="0.25">
      <c r="A152" s="76">
        <f t="shared" si="11"/>
        <v>49536</v>
      </c>
      <c r="B152" s="161">
        <f t="shared" si="12"/>
        <v>54.222999999999999</v>
      </c>
      <c r="C152" s="162">
        <f t="shared" si="9"/>
        <v>7610</v>
      </c>
      <c r="D152" s="72"/>
      <c r="E152" s="78">
        <f t="shared" si="10"/>
        <v>2.9791753268123999E-2</v>
      </c>
      <c r="S152" s="151">
        <v>43692</v>
      </c>
      <c r="T152" s="146">
        <v>93.119</v>
      </c>
      <c r="U152" s="146">
        <v>93.164000000000001</v>
      </c>
      <c r="V152" s="148">
        <v>0.48</v>
      </c>
      <c r="W152" s="147">
        <v>1.47</v>
      </c>
      <c r="Z152" s="159">
        <v>49263</v>
      </c>
      <c r="AA152" s="40">
        <v>55.651000000000003</v>
      </c>
    </row>
    <row r="153" spans="1:27" ht="13.5" thickBot="1" x14ac:dyDescent="0.25">
      <c r="A153" s="76">
        <f t="shared" si="11"/>
        <v>49628</v>
      </c>
      <c r="B153" s="161">
        <f t="shared" si="12"/>
        <v>53.77</v>
      </c>
      <c r="C153" s="162">
        <f t="shared" si="9"/>
        <v>7702</v>
      </c>
      <c r="D153" s="72"/>
      <c r="E153" s="78">
        <f t="shared" si="10"/>
        <v>2.9840068993649549E-2</v>
      </c>
      <c r="S153" s="151">
        <v>43692</v>
      </c>
      <c r="T153" s="146">
        <v>93.131</v>
      </c>
      <c r="U153" s="146">
        <v>93.174999999999997</v>
      </c>
      <c r="V153" s="148">
        <v>0.48099999999999998</v>
      </c>
      <c r="W153" s="147">
        <v>1.47</v>
      </c>
      <c r="Z153" s="159">
        <v>49355</v>
      </c>
      <c r="AA153" s="40">
        <v>55.162999999999997</v>
      </c>
    </row>
    <row r="154" spans="1:27" ht="13.5" thickBot="1" x14ac:dyDescent="0.25">
      <c r="A154" s="76">
        <f t="shared" si="11"/>
        <v>49720</v>
      </c>
      <c r="B154" s="161">
        <f t="shared" si="12"/>
        <v>54.015500000000003</v>
      </c>
      <c r="C154" s="162">
        <f t="shared" si="9"/>
        <v>7794</v>
      </c>
      <c r="D154" s="72"/>
      <c r="E154" s="78">
        <f t="shared" si="10"/>
        <v>2.9263099143032267E-2</v>
      </c>
      <c r="S154" s="151">
        <v>43708</v>
      </c>
      <c r="T154" s="146">
        <v>92.998999999999995</v>
      </c>
      <c r="U154" s="146">
        <v>93.043999999999997</v>
      </c>
      <c r="V154" s="148">
        <v>0.49199999999999999</v>
      </c>
      <c r="W154" s="147">
        <v>1.48</v>
      </c>
      <c r="Z154" s="159">
        <v>49444</v>
      </c>
      <c r="AA154" s="40">
        <v>54.677999999999997</v>
      </c>
    </row>
    <row r="155" spans="1:27" ht="13.5" thickBot="1" x14ac:dyDescent="0.25">
      <c r="A155" s="76">
        <f t="shared" si="11"/>
        <v>49810</v>
      </c>
      <c r="B155" s="161">
        <f t="shared" si="12"/>
        <v>52.816000000000003</v>
      </c>
      <c r="C155" s="162">
        <f t="shared" si="9"/>
        <v>7884</v>
      </c>
      <c r="D155" s="72"/>
      <c r="E155" s="78">
        <f t="shared" si="10"/>
        <v>2.9994558298342078E-2</v>
      </c>
      <c r="S155" s="151">
        <v>43708</v>
      </c>
      <c r="T155" s="146">
        <v>92.849000000000004</v>
      </c>
      <c r="U155" s="146">
        <v>92.894000000000005</v>
      </c>
      <c r="V155" s="148">
        <v>0.48299999999999998</v>
      </c>
      <c r="W155" s="147">
        <v>1.52</v>
      </c>
      <c r="Z155" s="159">
        <v>49536</v>
      </c>
      <c r="AA155" s="40">
        <v>54.222999999999999</v>
      </c>
    </row>
    <row r="156" spans="1:27" ht="13.5" thickBot="1" x14ac:dyDescent="0.25">
      <c r="A156" s="76">
        <f t="shared" si="11"/>
        <v>49902</v>
      </c>
      <c r="B156" s="161">
        <f t="shared" si="12"/>
        <v>52.37</v>
      </c>
      <c r="C156" s="162">
        <f t="shared" si="9"/>
        <v>7976</v>
      </c>
      <c r="D156" s="72"/>
      <c r="E156" s="78">
        <f t="shared" si="10"/>
        <v>3.0043163106119763E-2</v>
      </c>
      <c r="S156" s="151">
        <v>43738</v>
      </c>
      <c r="T156" s="146">
        <v>92.847999999999999</v>
      </c>
      <c r="U156" s="146">
        <v>92.893000000000001</v>
      </c>
      <c r="V156" s="148">
        <v>0.48499999999999999</v>
      </c>
      <c r="W156" s="147">
        <v>1.49</v>
      </c>
      <c r="Z156" s="159">
        <v>49628</v>
      </c>
      <c r="AA156" s="40">
        <v>53.77</v>
      </c>
    </row>
    <row r="157" spans="1:27" ht="13.5" thickBot="1" x14ac:dyDescent="0.25">
      <c r="A157" s="76">
        <f t="shared" si="11"/>
        <v>49994</v>
      </c>
      <c r="B157" s="161">
        <f t="shared" si="12"/>
        <v>51.871000000000002</v>
      </c>
      <c r="C157" s="162">
        <f t="shared" si="9"/>
        <v>8068</v>
      </c>
      <c r="D157" s="72"/>
      <c r="E157" s="78">
        <f t="shared" si="10"/>
        <v>3.014163472353748E-2</v>
      </c>
      <c r="S157" s="151">
        <v>43738</v>
      </c>
      <c r="T157" s="146">
        <v>92.730999999999995</v>
      </c>
      <c r="U157" s="146">
        <v>92.777000000000001</v>
      </c>
      <c r="V157" s="148">
        <v>0.49</v>
      </c>
      <c r="W157" s="147">
        <v>1.52</v>
      </c>
      <c r="Z157" s="159">
        <v>49720</v>
      </c>
      <c r="AA157" s="40">
        <v>54.015500000000003</v>
      </c>
    </row>
    <row r="158" spans="1:27" ht="13.5" thickBot="1" x14ac:dyDescent="0.25">
      <c r="A158" s="76">
        <f t="shared" si="11"/>
        <v>50086</v>
      </c>
      <c r="B158" s="161">
        <f t="shared" si="12"/>
        <v>52.017499999999998</v>
      </c>
      <c r="C158" s="162">
        <f t="shared" si="9"/>
        <v>8160</v>
      </c>
      <c r="D158" s="72"/>
      <c r="E158" s="78">
        <f t="shared" si="10"/>
        <v>2.9666884024821982E-2</v>
      </c>
      <c r="S158" s="151">
        <v>43769</v>
      </c>
      <c r="T158" s="146">
        <v>92.721999999999994</v>
      </c>
      <c r="U158" s="146">
        <v>92.768000000000001</v>
      </c>
      <c r="V158" s="148">
        <v>0.51200000000000001</v>
      </c>
      <c r="W158" s="147">
        <v>1.49</v>
      </c>
      <c r="Z158" s="159">
        <v>49810</v>
      </c>
      <c r="AA158" s="40">
        <v>52.816000000000003</v>
      </c>
    </row>
    <row r="159" spans="1:27" ht="13.5" thickBot="1" x14ac:dyDescent="0.25">
      <c r="A159" s="76">
        <f t="shared" si="11"/>
        <v>50175</v>
      </c>
      <c r="B159" s="161">
        <f t="shared" si="12"/>
        <v>51.566000000000003</v>
      </c>
      <c r="C159" s="162">
        <f t="shared" si="9"/>
        <v>8249</v>
      </c>
      <c r="D159" s="72"/>
      <c r="E159" s="78">
        <f t="shared" si="10"/>
        <v>2.9739284161012458E-2</v>
      </c>
      <c r="S159" s="151">
        <v>43769</v>
      </c>
      <c r="T159" s="146">
        <v>92.242000000000004</v>
      </c>
      <c r="U159" s="146">
        <v>92.287999999999997</v>
      </c>
      <c r="V159" s="148">
        <v>0.496</v>
      </c>
      <c r="W159" s="147">
        <v>1.6</v>
      </c>
      <c r="Z159" s="159">
        <v>49902</v>
      </c>
      <c r="AA159" s="40">
        <v>52.37</v>
      </c>
    </row>
    <row r="160" spans="1:27" ht="13.5" thickBot="1" x14ac:dyDescent="0.25">
      <c r="A160" s="76">
        <f t="shared" si="11"/>
        <v>50267</v>
      </c>
      <c r="B160" s="161">
        <f t="shared" si="12"/>
        <v>50.527999999999999</v>
      </c>
      <c r="C160" s="162">
        <f t="shared" si="9"/>
        <v>8341</v>
      </c>
      <c r="D160" s="72"/>
      <c r="E160" s="78">
        <f t="shared" si="10"/>
        <v>3.0322913250572903E-2</v>
      </c>
      <c r="S160" s="151">
        <v>43784</v>
      </c>
      <c r="T160" s="146">
        <v>92.415000000000006</v>
      </c>
      <c r="U160" s="146">
        <v>92.460999999999999</v>
      </c>
      <c r="V160" s="148">
        <v>0.501</v>
      </c>
      <c r="W160" s="147">
        <v>1.55</v>
      </c>
      <c r="Z160" s="159">
        <v>49994</v>
      </c>
      <c r="AA160" s="40">
        <v>51.871000000000002</v>
      </c>
    </row>
    <row r="161" spans="1:27" ht="13.5" thickBot="1" x14ac:dyDescent="0.25">
      <c r="A161" s="76">
        <f t="shared" si="11"/>
        <v>50359</v>
      </c>
      <c r="B161" s="161">
        <f t="shared" si="12"/>
        <v>50.094999999999999</v>
      </c>
      <c r="C161" s="162">
        <f t="shared" si="9"/>
        <v>8433</v>
      </c>
      <c r="D161" s="72"/>
      <c r="E161" s="78">
        <f t="shared" si="10"/>
        <v>3.037094245587757E-2</v>
      </c>
      <c r="S161" s="151">
        <v>43799</v>
      </c>
      <c r="T161" s="146">
        <v>92.430999999999997</v>
      </c>
      <c r="U161" s="146">
        <v>92.477999999999994</v>
      </c>
      <c r="V161" s="148">
        <v>0.53</v>
      </c>
      <c r="W161" s="147">
        <v>1.53</v>
      </c>
      <c r="Z161" s="159">
        <v>50086</v>
      </c>
      <c r="AA161" s="40">
        <v>52.017499999999998</v>
      </c>
    </row>
    <row r="162" spans="1:27" ht="13.5" thickBot="1" x14ac:dyDescent="0.25">
      <c r="A162" s="76">
        <f t="shared" si="11"/>
        <v>50451</v>
      </c>
      <c r="B162" s="161">
        <f t="shared" si="12"/>
        <v>49.966000000000001</v>
      </c>
      <c r="C162" s="162">
        <f t="shared" si="9"/>
        <v>8525</v>
      </c>
      <c r="D162" s="72"/>
      <c r="E162" s="78">
        <f t="shared" si="10"/>
        <v>3.0152030304900768E-2</v>
      </c>
      <c r="S162" s="151">
        <v>43799</v>
      </c>
      <c r="T162" s="146">
        <v>92.195999999999998</v>
      </c>
      <c r="U162" s="146">
        <v>92.242999999999995</v>
      </c>
      <c r="V162" s="148">
        <v>0.52800000000000002</v>
      </c>
      <c r="W162" s="147">
        <v>1.58</v>
      </c>
      <c r="Z162" s="159">
        <v>50175</v>
      </c>
      <c r="AA162" s="40">
        <v>51.566000000000003</v>
      </c>
    </row>
    <row r="163" spans="1:27" ht="13.5" thickBot="1" x14ac:dyDescent="0.25">
      <c r="A163" s="76">
        <f t="shared" si="11"/>
        <v>50540</v>
      </c>
      <c r="B163" s="161">
        <f t="shared" si="12"/>
        <v>49.552999999999997</v>
      </c>
      <c r="C163" s="162">
        <f t="shared" si="9"/>
        <v>8614</v>
      </c>
      <c r="D163" s="72"/>
      <c r="E163" s="78">
        <f t="shared" si="10"/>
        <v>3.0198147816265175E-2</v>
      </c>
      <c r="S163" s="151">
        <v>43830</v>
      </c>
      <c r="T163" s="146">
        <v>92.212999999999994</v>
      </c>
      <c r="U163" s="146">
        <v>92.260999999999996</v>
      </c>
      <c r="V163" s="148">
        <v>0.53600000000000003</v>
      </c>
      <c r="W163" s="147">
        <v>1.55</v>
      </c>
      <c r="Z163" s="159">
        <v>50267</v>
      </c>
      <c r="AA163" s="40">
        <v>50.527999999999999</v>
      </c>
    </row>
    <row r="164" spans="1:27" ht="13.5" thickBot="1" x14ac:dyDescent="0.25">
      <c r="A164" s="76">
        <f t="shared" si="11"/>
        <v>50632</v>
      </c>
      <c r="B164" s="161">
        <f t="shared" si="12"/>
        <v>48.753</v>
      </c>
      <c r="C164" s="162">
        <f t="shared" si="9"/>
        <v>8706</v>
      </c>
      <c r="D164" s="72"/>
      <c r="E164" s="78">
        <f t="shared" si="10"/>
        <v>3.0577312831972847E-2</v>
      </c>
      <c r="S164" s="151">
        <v>43830</v>
      </c>
      <c r="T164" s="146">
        <v>91.974999999999994</v>
      </c>
      <c r="U164" s="146">
        <v>92.022000000000006</v>
      </c>
      <c r="V164" s="148">
        <v>0.53500000000000003</v>
      </c>
      <c r="W164" s="147">
        <v>1.6</v>
      </c>
      <c r="Z164" s="159">
        <v>50359</v>
      </c>
      <c r="AA164" s="40">
        <v>50.094999999999999</v>
      </c>
    </row>
    <row r="165" spans="1:27" ht="13.5" thickBot="1" x14ac:dyDescent="0.25">
      <c r="A165" s="76">
        <f t="shared" si="11"/>
        <v>50724</v>
      </c>
      <c r="B165" s="161">
        <f t="shared" si="12"/>
        <v>48.33</v>
      </c>
      <c r="C165" s="162">
        <f t="shared" si="9"/>
        <v>8798</v>
      </c>
      <c r="D165" s="72"/>
      <c r="E165" s="78">
        <f t="shared" si="10"/>
        <v>3.0625309873691497E-2</v>
      </c>
      <c r="S165" s="151">
        <v>43861</v>
      </c>
      <c r="T165" s="146">
        <v>92.009</v>
      </c>
      <c r="U165" s="146">
        <v>92.058000000000007</v>
      </c>
      <c r="V165" s="148">
        <v>0.51700000000000002</v>
      </c>
      <c r="W165" s="147">
        <v>1.57</v>
      </c>
      <c r="Z165" s="159">
        <v>50451</v>
      </c>
      <c r="AA165" s="40">
        <v>49.966000000000001</v>
      </c>
    </row>
    <row r="166" spans="1:27" ht="13.5" thickBot="1" x14ac:dyDescent="0.25">
      <c r="A166" s="76">
        <f t="shared" si="11"/>
        <v>50816</v>
      </c>
      <c r="B166" s="161">
        <f t="shared" si="12"/>
        <v>48.227000000000004</v>
      </c>
      <c r="C166" s="162">
        <f t="shared" si="9"/>
        <v>8890</v>
      </c>
      <c r="D166" s="72"/>
      <c r="E166" s="78">
        <f t="shared" si="10"/>
        <v>3.0393875913172552E-2</v>
      </c>
      <c r="S166" s="151">
        <v>43861</v>
      </c>
      <c r="T166" s="146">
        <v>91.873000000000005</v>
      </c>
      <c r="U166" s="146">
        <v>91.921999999999997</v>
      </c>
      <c r="V166" s="148">
        <v>0.51800000000000002</v>
      </c>
      <c r="W166" s="147">
        <v>1.6</v>
      </c>
      <c r="Z166" s="159">
        <v>50540</v>
      </c>
      <c r="AA166" s="40">
        <v>49.552999999999997</v>
      </c>
    </row>
    <row r="167" spans="1:27" ht="13.5" thickBot="1" x14ac:dyDescent="0.25">
      <c r="A167" s="76">
        <f t="shared" si="11"/>
        <v>50905</v>
      </c>
      <c r="B167" s="161">
        <f t="shared" si="12"/>
        <v>47.867000000000004</v>
      </c>
      <c r="C167" s="162">
        <f t="shared" si="9"/>
        <v>8979</v>
      </c>
      <c r="D167" s="72"/>
      <c r="E167" s="78">
        <f t="shared" si="10"/>
        <v>3.0401917367858911E-2</v>
      </c>
      <c r="S167" s="151">
        <v>43876</v>
      </c>
      <c r="T167" s="146">
        <v>91.935000000000002</v>
      </c>
      <c r="U167" s="146">
        <v>91.983999999999995</v>
      </c>
      <c r="V167" s="148">
        <v>0.55900000000000005</v>
      </c>
      <c r="W167" s="147">
        <v>1.57</v>
      </c>
      <c r="Z167" s="159">
        <v>50632</v>
      </c>
      <c r="AA167" s="40">
        <v>48.753</v>
      </c>
    </row>
    <row r="168" spans="1:27" ht="13.5" thickBot="1" x14ac:dyDescent="0.25">
      <c r="A168" s="76">
        <f t="shared" si="11"/>
        <v>50997</v>
      </c>
      <c r="B168" s="161">
        <f t="shared" si="12"/>
        <v>47.466499999999996</v>
      </c>
      <c r="C168" s="162">
        <f t="shared" si="9"/>
        <v>9071</v>
      </c>
      <c r="D168" s="72"/>
      <c r="E168" s="78">
        <f t="shared" si="10"/>
        <v>3.0437299484394442E-2</v>
      </c>
      <c r="S168" s="151">
        <v>43876</v>
      </c>
      <c r="T168" s="146">
        <v>91.789000000000001</v>
      </c>
      <c r="U168" s="146">
        <v>91.837999999999994</v>
      </c>
      <c r="V168" s="148">
        <v>0.55800000000000005</v>
      </c>
      <c r="W168" s="147">
        <v>1.6</v>
      </c>
      <c r="Z168" s="159">
        <v>50724</v>
      </c>
      <c r="AA168" s="40">
        <v>48.33</v>
      </c>
    </row>
    <row r="169" spans="1:27" ht="13.5" thickBot="1" x14ac:dyDescent="0.25">
      <c r="A169" s="76">
        <f t="shared" si="11"/>
        <v>51089</v>
      </c>
      <c r="B169" s="161">
        <f t="shared" si="12"/>
        <v>47.0535</v>
      </c>
      <c r="C169" s="162">
        <f t="shared" si="9"/>
        <v>9163</v>
      </c>
      <c r="D169" s="72"/>
      <c r="E169" s="78">
        <f t="shared" si="10"/>
        <v>3.048579790193906E-2</v>
      </c>
      <c r="S169" s="151">
        <v>43890</v>
      </c>
      <c r="T169" s="146">
        <v>91.834999999999994</v>
      </c>
      <c r="U169" s="146">
        <v>91.884</v>
      </c>
      <c r="V169" s="148">
        <v>0.57999999999999996</v>
      </c>
      <c r="W169" s="147">
        <v>1.58</v>
      </c>
      <c r="Z169" s="159">
        <v>50816</v>
      </c>
      <c r="AA169" s="40">
        <v>48.227000000000004</v>
      </c>
    </row>
    <row r="170" spans="1:27" ht="13.5" thickBot="1" x14ac:dyDescent="0.25">
      <c r="A170" s="76">
        <f t="shared" si="11"/>
        <v>51181</v>
      </c>
      <c r="B170" s="161">
        <f t="shared" si="12"/>
        <v>46.673000000000002</v>
      </c>
      <c r="C170" s="162">
        <f t="shared" si="9"/>
        <v>9255</v>
      </c>
      <c r="D170" s="72"/>
      <c r="E170" s="78">
        <f t="shared" si="10"/>
        <v>3.0508155353002442E-2</v>
      </c>
      <c r="S170" s="151">
        <v>43890</v>
      </c>
      <c r="T170" s="146">
        <v>91.602000000000004</v>
      </c>
      <c r="U170" s="146">
        <v>91.650999999999996</v>
      </c>
      <c r="V170" s="148">
        <v>0.57799999999999996</v>
      </c>
      <c r="W170" s="147">
        <v>1.63</v>
      </c>
      <c r="Z170" s="159">
        <v>50905</v>
      </c>
      <c r="AA170" s="40">
        <v>47.867000000000004</v>
      </c>
    </row>
    <row r="171" spans="1:27" ht="13.5" thickBot="1" x14ac:dyDescent="0.25">
      <c r="A171" s="76">
        <f t="shared" si="11"/>
        <v>51271</v>
      </c>
      <c r="B171" s="161">
        <f t="shared" si="12"/>
        <v>46.250500000000002</v>
      </c>
      <c r="C171" s="162">
        <f t="shared" si="9"/>
        <v>9345</v>
      </c>
      <c r="D171" s="72"/>
      <c r="E171" s="78">
        <f t="shared" si="10"/>
        <v>3.0575917246355999E-2</v>
      </c>
      <c r="S171" s="151">
        <v>43921</v>
      </c>
      <c r="T171" s="146">
        <v>91.558000000000007</v>
      </c>
      <c r="U171" s="146">
        <v>91.608000000000004</v>
      </c>
      <c r="V171" s="148">
        <v>0.54300000000000004</v>
      </c>
      <c r="W171" s="147">
        <v>1.61</v>
      </c>
      <c r="Z171" s="159">
        <v>50997</v>
      </c>
      <c r="AA171" s="40">
        <v>47.466499999999996</v>
      </c>
    </row>
    <row r="172" spans="1:27" ht="13.5" thickBot="1" x14ac:dyDescent="0.25">
      <c r="A172" s="76">
        <f t="shared" si="11"/>
        <v>51363</v>
      </c>
      <c r="B172" s="161">
        <f t="shared" si="12"/>
        <v>45.8155</v>
      </c>
      <c r="C172" s="162">
        <f t="shared" si="9"/>
        <v>9437</v>
      </c>
      <c r="D172" s="72"/>
      <c r="E172" s="78">
        <f t="shared" si="10"/>
        <v>3.0649999187209342E-2</v>
      </c>
      <c r="S172" s="151">
        <v>43921</v>
      </c>
      <c r="T172" s="146">
        <v>91.058999999999997</v>
      </c>
      <c r="U172" s="146">
        <v>91.108000000000004</v>
      </c>
      <c r="V172" s="148">
        <v>0.57499999999999996</v>
      </c>
      <c r="W172" s="147">
        <v>1.71</v>
      </c>
      <c r="Z172" s="159">
        <v>51089</v>
      </c>
      <c r="AA172" s="40">
        <v>47.0535</v>
      </c>
    </row>
    <row r="173" spans="1:27" ht="12.95" customHeight="1" thickBot="1" x14ac:dyDescent="0.25">
      <c r="A173" s="76">
        <f t="shared" si="11"/>
        <v>51455</v>
      </c>
      <c r="B173" s="161">
        <f t="shared" si="12"/>
        <v>45.485500000000002</v>
      </c>
      <c r="C173" s="162">
        <f t="shared" si="9"/>
        <v>9529</v>
      </c>
      <c r="D173" s="72"/>
      <c r="E173" s="78">
        <f t="shared" si="10"/>
        <v>3.0634974577828489E-2</v>
      </c>
      <c r="S173" s="152">
        <v>43951</v>
      </c>
      <c r="T173" s="154">
        <v>91.358999999999995</v>
      </c>
      <c r="U173" s="154">
        <v>91.409000000000006</v>
      </c>
      <c r="V173" s="155">
        <v>0.56299999999999994</v>
      </c>
      <c r="W173" s="156">
        <v>1.63</v>
      </c>
      <c r="Z173" s="159">
        <v>51181</v>
      </c>
      <c r="AA173" s="40">
        <v>46.673000000000002</v>
      </c>
    </row>
    <row r="174" spans="1:27" ht="13.5" thickBot="1" x14ac:dyDescent="0.25">
      <c r="A174" s="76">
        <f t="shared" si="11"/>
        <v>51547</v>
      </c>
      <c r="B174" s="161">
        <f t="shared" si="12"/>
        <v>45.218000000000004</v>
      </c>
      <c r="C174" s="162">
        <f t="shared" si="9"/>
        <v>9621</v>
      </c>
      <c r="D174" s="72"/>
      <c r="E174" s="78">
        <f t="shared" si="10"/>
        <v>3.0568216478854326E-2</v>
      </c>
      <c r="S174" s="151">
        <v>43951</v>
      </c>
      <c r="T174" s="146">
        <v>91.134</v>
      </c>
      <c r="U174" s="146">
        <v>91.185000000000002</v>
      </c>
      <c r="V174" s="148">
        <v>0.57299999999999995</v>
      </c>
      <c r="W174" s="147">
        <v>1.67</v>
      </c>
      <c r="Z174" s="159">
        <v>51271</v>
      </c>
      <c r="AA174" s="40">
        <v>46.250500000000002</v>
      </c>
    </row>
    <row r="175" spans="1:27" ht="13.5" thickBot="1" x14ac:dyDescent="0.25">
      <c r="A175" s="76">
        <f t="shared" si="11"/>
        <v>51636</v>
      </c>
      <c r="B175" s="161">
        <f t="shared" si="12"/>
        <v>44.7455</v>
      </c>
      <c r="C175" s="162">
        <f t="shared" si="9"/>
        <v>9710</v>
      </c>
      <c r="D175" s="72"/>
      <c r="E175" s="78">
        <f t="shared" si="10"/>
        <v>3.0690732106175345E-2</v>
      </c>
      <c r="S175" s="151">
        <v>43966</v>
      </c>
      <c r="T175" s="146">
        <v>91.311999999999998</v>
      </c>
      <c r="U175" s="146">
        <v>91.363</v>
      </c>
      <c r="V175" s="148">
        <v>0.57899999999999996</v>
      </c>
      <c r="W175" s="147">
        <v>1.62</v>
      </c>
      <c r="Z175" s="159">
        <v>51363</v>
      </c>
      <c r="AA175" s="40">
        <v>45.8155</v>
      </c>
    </row>
    <row r="176" spans="1:27" ht="13.5" thickBot="1" x14ac:dyDescent="0.25">
      <c r="A176" s="76">
        <f t="shared" si="11"/>
        <v>51728</v>
      </c>
      <c r="B176" s="161">
        <f t="shared" si="12"/>
        <v>44.319500000000005</v>
      </c>
      <c r="C176" s="162">
        <f t="shared" si="9"/>
        <v>9802</v>
      </c>
      <c r="D176" s="72"/>
      <c r="E176" s="78">
        <f t="shared" si="10"/>
        <v>3.0765449723364258E-2</v>
      </c>
      <c r="S176" s="151">
        <v>43966</v>
      </c>
      <c r="T176" s="146">
        <v>91.123000000000005</v>
      </c>
      <c r="U176" s="146">
        <v>91.173000000000002</v>
      </c>
      <c r="V176" s="148">
        <v>0.57799999999999996</v>
      </c>
      <c r="W176" s="147">
        <v>1.66</v>
      </c>
      <c r="Z176" s="159">
        <v>51455</v>
      </c>
      <c r="AA176" s="40">
        <v>45.485500000000002</v>
      </c>
    </row>
    <row r="177" spans="1:27" ht="13.5" thickBot="1" x14ac:dyDescent="0.25">
      <c r="A177" s="76">
        <f t="shared" si="11"/>
        <v>51820</v>
      </c>
      <c r="B177" s="161">
        <f t="shared" si="12"/>
        <v>43.823500000000003</v>
      </c>
      <c r="C177" s="162">
        <f t="shared" si="9"/>
        <v>9894</v>
      </c>
      <c r="D177" s="72"/>
      <c r="E177" s="78">
        <f t="shared" si="10"/>
        <v>3.0902994186076116E-2</v>
      </c>
      <c r="S177" s="151">
        <v>43982</v>
      </c>
      <c r="T177" s="146">
        <v>91.134</v>
      </c>
      <c r="U177" s="146">
        <v>91.183999999999997</v>
      </c>
      <c r="V177" s="148">
        <v>0.55700000000000005</v>
      </c>
      <c r="W177" s="147">
        <v>1.65</v>
      </c>
      <c r="Z177" s="159">
        <v>51547</v>
      </c>
      <c r="AA177" s="40">
        <v>45.218000000000004</v>
      </c>
    </row>
    <row r="178" spans="1:27" ht="13.5" thickBot="1" x14ac:dyDescent="0.25">
      <c r="A178" s="76">
        <f t="shared" si="11"/>
        <v>51912</v>
      </c>
      <c r="B178" s="161">
        <f t="shared" si="12"/>
        <v>43.402500000000003</v>
      </c>
      <c r="C178" s="162">
        <f t="shared" si="9"/>
        <v>9986</v>
      </c>
      <c r="D178" s="72"/>
      <c r="E178" s="78">
        <f t="shared" si="10"/>
        <v>3.0977674194224036E-2</v>
      </c>
      <c r="S178" s="151">
        <v>43982</v>
      </c>
      <c r="T178" s="146">
        <v>90.819000000000003</v>
      </c>
      <c r="U178" s="146">
        <v>90.869</v>
      </c>
      <c r="V178" s="148">
        <v>0.57999999999999996</v>
      </c>
      <c r="W178" s="147">
        <v>1.71</v>
      </c>
      <c r="Z178" s="159">
        <v>51636</v>
      </c>
      <c r="AA178" s="40">
        <v>44.7455</v>
      </c>
    </row>
    <row r="179" spans="1:27" ht="13.5" thickBot="1" x14ac:dyDescent="0.25">
      <c r="A179" s="76">
        <f t="shared" si="11"/>
        <v>52001</v>
      </c>
      <c r="B179" s="161">
        <f t="shared" si="12"/>
        <v>43.042999999999999</v>
      </c>
      <c r="C179" s="162">
        <f t="shared" si="9"/>
        <v>10075</v>
      </c>
      <c r="D179" s="72"/>
      <c r="E179" s="78">
        <f t="shared" si="10"/>
        <v>3.1010490906645094E-2</v>
      </c>
      <c r="S179" s="151">
        <v>44012</v>
      </c>
      <c r="T179" s="146">
        <v>90.927999999999997</v>
      </c>
      <c r="U179" s="146">
        <v>90.978999999999999</v>
      </c>
      <c r="V179" s="148">
        <v>0.61299999999999999</v>
      </c>
      <c r="W179" s="147">
        <v>1.66</v>
      </c>
      <c r="Z179" s="159">
        <v>51728</v>
      </c>
      <c r="AA179" s="40">
        <v>44.319500000000005</v>
      </c>
    </row>
    <row r="180" spans="1:27" ht="13.5" thickBot="1" x14ac:dyDescent="0.25">
      <c r="A180" s="76">
        <f t="shared" si="11"/>
        <v>52093</v>
      </c>
      <c r="B180" s="161">
        <f t="shared" si="12"/>
        <v>42.612499999999997</v>
      </c>
      <c r="C180" s="162">
        <f t="shared" si="9"/>
        <v>10167</v>
      </c>
      <c r="D180" s="72"/>
      <c r="E180" s="78">
        <f t="shared" si="10"/>
        <v>3.1097639078033756E-2</v>
      </c>
      <c r="S180" s="151">
        <v>44012</v>
      </c>
      <c r="T180" s="146">
        <v>90.683999999999997</v>
      </c>
      <c r="U180" s="146">
        <v>90.734999999999999</v>
      </c>
      <c r="V180" s="148">
        <v>0.61199999999999999</v>
      </c>
      <c r="W180" s="147">
        <v>1.71</v>
      </c>
      <c r="Z180" s="159">
        <v>51820</v>
      </c>
      <c r="AA180" s="40">
        <v>43.823500000000003</v>
      </c>
    </row>
    <row r="181" spans="1:27" ht="13.5" thickBot="1" x14ac:dyDescent="0.25">
      <c r="A181" s="76">
        <f t="shared" si="11"/>
        <v>52185</v>
      </c>
      <c r="B181" s="161">
        <f t="shared" si="12"/>
        <v>42.243499999999997</v>
      </c>
      <c r="C181" s="162">
        <f t="shared" si="9"/>
        <v>10259</v>
      </c>
      <c r="D181" s="72"/>
      <c r="E181" s="78">
        <f t="shared" si="10"/>
        <v>3.1133526357878472E-2</v>
      </c>
      <c r="S181" s="151">
        <v>44043</v>
      </c>
      <c r="T181" s="146">
        <v>90.747</v>
      </c>
      <c r="U181" s="146">
        <v>90.799000000000007</v>
      </c>
      <c r="V181" s="148">
        <v>0.63400000000000001</v>
      </c>
      <c r="W181" s="147">
        <v>1.67</v>
      </c>
      <c r="Z181" s="159">
        <v>51912</v>
      </c>
      <c r="AA181" s="40">
        <v>43.402500000000003</v>
      </c>
    </row>
    <row r="182" spans="1:27" ht="13.5" thickBot="1" x14ac:dyDescent="0.25">
      <c r="A182" s="76">
        <f t="shared" si="11"/>
        <v>52277</v>
      </c>
      <c r="B182" s="161">
        <f t="shared" si="12"/>
        <v>41.862499999999997</v>
      </c>
      <c r="C182" s="162">
        <f t="shared" si="9"/>
        <v>10351</v>
      </c>
      <c r="D182" s="72"/>
      <c r="E182" s="78">
        <f t="shared" si="10"/>
        <v>3.1181973130383733E-2</v>
      </c>
      <c r="S182" s="151">
        <v>44043</v>
      </c>
      <c r="T182" s="146">
        <v>90.5</v>
      </c>
      <c r="U182" s="146">
        <v>90.552000000000007</v>
      </c>
      <c r="V182" s="148">
        <v>0.63200000000000001</v>
      </c>
      <c r="W182" s="147">
        <v>1.72</v>
      </c>
      <c r="Z182" s="159">
        <v>52001</v>
      </c>
      <c r="AA182" s="40">
        <v>43.042999999999999</v>
      </c>
    </row>
    <row r="183" spans="1:27" ht="13.5" thickBot="1" x14ac:dyDescent="0.25">
      <c r="A183" s="76">
        <f t="shared" si="11"/>
        <v>52366</v>
      </c>
      <c r="B183" s="161">
        <f t="shared" si="12"/>
        <v>38.167000000000002</v>
      </c>
      <c r="C183" s="162">
        <f t="shared" si="9"/>
        <v>10440</v>
      </c>
      <c r="D183" s="72"/>
      <c r="E183" s="78">
        <f t="shared" si="10"/>
        <v>3.424848130857594E-2</v>
      </c>
      <c r="S183" s="151">
        <v>44058</v>
      </c>
      <c r="T183" s="146">
        <v>90.495000000000005</v>
      </c>
      <c r="U183" s="146">
        <v>90.548000000000002</v>
      </c>
      <c r="V183" s="148">
        <v>0.57299999999999995</v>
      </c>
      <c r="W183" s="147">
        <v>1.71</v>
      </c>
      <c r="Z183" s="159">
        <v>52093</v>
      </c>
      <c r="AA183" s="40">
        <v>42.612499999999997</v>
      </c>
    </row>
    <row r="184" spans="1:27" ht="13.5" thickBot="1" x14ac:dyDescent="0.25">
      <c r="A184" s="76">
        <f t="shared" si="11"/>
        <v>52458</v>
      </c>
      <c r="B184" s="161">
        <f t="shared" si="12"/>
        <v>37.81366666666667</v>
      </c>
      <c r="C184" s="162">
        <f t="shared" si="9"/>
        <v>10532</v>
      </c>
      <c r="D184" s="72"/>
      <c r="E184" s="78">
        <f t="shared" si="10"/>
        <v>3.4277612169641092E-2</v>
      </c>
      <c r="S184" s="151">
        <v>44058</v>
      </c>
      <c r="T184" s="146">
        <v>90.350999999999999</v>
      </c>
      <c r="U184" s="146">
        <v>90.403999999999996</v>
      </c>
      <c r="V184" s="148">
        <v>0.57199999999999995</v>
      </c>
      <c r="W184" s="147">
        <v>1.74</v>
      </c>
      <c r="Z184" s="159">
        <v>52185</v>
      </c>
      <c r="AA184" s="40">
        <v>42.243499999999997</v>
      </c>
    </row>
    <row r="185" spans="1:27" ht="13.5" thickBot="1" x14ac:dyDescent="0.25">
      <c r="A185" s="76">
        <f t="shared" si="11"/>
        <v>52550</v>
      </c>
      <c r="B185" s="161">
        <f t="shared" si="12"/>
        <v>37.492666666666665</v>
      </c>
      <c r="C185" s="162">
        <f t="shared" si="9"/>
        <v>10624</v>
      </c>
      <c r="D185" s="72"/>
      <c r="E185" s="78">
        <f t="shared" si="10"/>
        <v>3.4278684292036843E-2</v>
      </c>
      <c r="S185" s="151">
        <v>44074</v>
      </c>
      <c r="T185" s="146">
        <v>90.394999999999996</v>
      </c>
      <c r="U185" s="146">
        <v>90.447999999999993</v>
      </c>
      <c r="V185" s="148">
        <v>0.63900000000000001</v>
      </c>
      <c r="W185" s="147">
        <v>1.72</v>
      </c>
      <c r="Z185" s="159">
        <v>52277</v>
      </c>
      <c r="AA185" s="40">
        <v>41.862499999999997</v>
      </c>
    </row>
    <row r="186" spans="1:27" ht="13.5" thickBot="1" x14ac:dyDescent="0.25">
      <c r="A186" s="76">
        <f t="shared" si="11"/>
        <v>52642</v>
      </c>
      <c r="B186" s="161">
        <f t="shared" si="12"/>
        <v>37.629714285714286</v>
      </c>
      <c r="C186" s="162">
        <f t="shared" si="9"/>
        <v>10716</v>
      </c>
      <c r="D186" s="72"/>
      <c r="E186" s="78">
        <f t="shared" si="10"/>
        <v>3.3850955244920655E-2</v>
      </c>
      <c r="S186" s="151">
        <v>44074</v>
      </c>
      <c r="T186" s="146">
        <v>90.408000000000001</v>
      </c>
      <c r="U186" s="146">
        <v>90.460999999999999</v>
      </c>
      <c r="V186" s="148">
        <v>0.63900000000000001</v>
      </c>
      <c r="W186" s="147">
        <v>1.71</v>
      </c>
      <c r="Z186" s="159">
        <v>52366</v>
      </c>
      <c r="AA186" s="40">
        <v>38.167000000000002</v>
      </c>
    </row>
    <row r="187" spans="1:27" ht="13.5" thickBot="1" x14ac:dyDescent="0.25">
      <c r="A187" s="76">
        <f t="shared" si="11"/>
        <v>52732</v>
      </c>
      <c r="B187" s="161">
        <f t="shared" si="12"/>
        <v>37.069199999999995</v>
      </c>
      <c r="C187" s="162">
        <f t="shared" si="9"/>
        <v>10806</v>
      </c>
      <c r="D187" s="72"/>
      <c r="E187" s="78">
        <f t="shared" si="10"/>
        <v>3.4088407459618608E-2</v>
      </c>
      <c r="S187" s="151">
        <v>44104</v>
      </c>
      <c r="T187" s="146">
        <v>90.108000000000004</v>
      </c>
      <c r="U187" s="146">
        <v>90.161000000000001</v>
      </c>
      <c r="V187" s="148">
        <v>0.59599999999999997</v>
      </c>
      <c r="W187" s="147">
        <v>1.75</v>
      </c>
      <c r="Z187" s="159">
        <v>52458</v>
      </c>
      <c r="AA187" s="40">
        <v>37.81366666666667</v>
      </c>
    </row>
    <row r="188" spans="1:27" ht="13.5" thickBot="1" x14ac:dyDescent="0.25">
      <c r="A188" s="76"/>
      <c r="B188" s="73"/>
      <c r="C188" s="75"/>
      <c r="D188" s="72"/>
      <c r="E188" s="78"/>
      <c r="S188" s="151">
        <v>44104</v>
      </c>
      <c r="T188" s="146">
        <v>89.89</v>
      </c>
      <c r="U188" s="146">
        <v>89.942999999999998</v>
      </c>
      <c r="V188" s="148">
        <v>0.58099999999999996</v>
      </c>
      <c r="W188" s="147">
        <v>1.79</v>
      </c>
      <c r="Z188" s="159">
        <v>52550</v>
      </c>
      <c r="AA188" s="40">
        <v>37.492666666666665</v>
      </c>
    </row>
    <row r="189" spans="1:27" ht="13.5" thickBot="1" x14ac:dyDescent="0.25">
      <c r="A189" s="76"/>
      <c r="B189" s="73"/>
      <c r="C189" s="75"/>
      <c r="D189" s="72"/>
      <c r="E189" s="78"/>
      <c r="S189" s="151">
        <v>44135</v>
      </c>
      <c r="T189" s="146">
        <v>89.891000000000005</v>
      </c>
      <c r="U189" s="146">
        <v>89.944999999999993</v>
      </c>
      <c r="V189" s="148">
        <v>0.64800000000000002</v>
      </c>
      <c r="W189" s="147">
        <v>1.76</v>
      </c>
      <c r="Z189" s="159">
        <v>52642</v>
      </c>
      <c r="AA189" s="40">
        <v>37.629714285714286</v>
      </c>
    </row>
    <row r="190" spans="1:27" ht="13.5" thickBot="1" x14ac:dyDescent="0.25">
      <c r="A190" s="76"/>
      <c r="B190" s="73"/>
      <c r="C190" s="75"/>
      <c r="D190" s="72"/>
      <c r="E190" s="78"/>
      <c r="S190" s="151">
        <v>44135</v>
      </c>
      <c r="T190" s="146">
        <v>89.524000000000001</v>
      </c>
      <c r="U190" s="146">
        <v>89.576999999999998</v>
      </c>
      <c r="V190" s="148">
        <v>0.625</v>
      </c>
      <c r="W190" s="147">
        <v>1.83</v>
      </c>
      <c r="Z190" s="159">
        <v>52732</v>
      </c>
      <c r="AA190" s="40">
        <v>37.069199999999995</v>
      </c>
    </row>
    <row r="191" spans="1:27" ht="13.5" thickBot="1" x14ac:dyDescent="0.25">
      <c r="A191" s="76"/>
      <c r="B191" s="73"/>
      <c r="C191" s="75"/>
      <c r="D191" s="72"/>
      <c r="E191" s="78"/>
      <c r="S191" s="151">
        <v>44150</v>
      </c>
      <c r="T191" s="146">
        <v>89.715999999999994</v>
      </c>
      <c r="U191" s="146">
        <v>89.77</v>
      </c>
      <c r="V191" s="148">
        <v>0.59299999999999997</v>
      </c>
      <c r="W191" s="147">
        <v>1.78</v>
      </c>
      <c r="Z191" s="160" t="s">
        <v>335</v>
      </c>
      <c r="AA191" s="40"/>
    </row>
    <row r="192" spans="1:27" ht="13.5" thickBot="1" x14ac:dyDescent="0.25">
      <c r="A192" s="76"/>
      <c r="B192" s="73"/>
      <c r="C192" s="75"/>
      <c r="D192" s="72"/>
      <c r="E192" s="78"/>
      <c r="S192" s="151">
        <v>44150</v>
      </c>
      <c r="T192" s="146">
        <v>89.674999999999997</v>
      </c>
      <c r="U192" s="146">
        <v>89.728999999999999</v>
      </c>
      <c r="V192" s="148">
        <v>0.59199999999999997</v>
      </c>
      <c r="W192" s="147">
        <v>1.79</v>
      </c>
      <c r="Z192" s="160" t="s">
        <v>336</v>
      </c>
      <c r="AA192" s="40">
        <v>78.898405099150139</v>
      </c>
    </row>
    <row r="193" spans="1:23" ht="13.5" thickBot="1" x14ac:dyDescent="0.25">
      <c r="A193" s="76"/>
      <c r="B193" s="73"/>
      <c r="C193" s="75"/>
      <c r="D193" s="72"/>
      <c r="E193" s="78"/>
      <c r="S193" s="151">
        <v>44165</v>
      </c>
      <c r="T193" s="146">
        <v>89.652000000000001</v>
      </c>
      <c r="U193" s="146">
        <v>89.706000000000003</v>
      </c>
      <c r="V193" s="148">
        <v>0.64100000000000001</v>
      </c>
      <c r="W193" s="147">
        <v>1.78</v>
      </c>
    </row>
    <row r="194" spans="1:23" ht="13.5" thickBot="1" x14ac:dyDescent="0.25">
      <c r="A194" s="76"/>
      <c r="B194" s="73"/>
      <c r="C194" s="75"/>
      <c r="D194" s="72"/>
      <c r="E194" s="78"/>
      <c r="S194" s="151">
        <v>44165</v>
      </c>
      <c r="T194" s="146">
        <v>89.388999999999996</v>
      </c>
      <c r="U194" s="146">
        <v>89.442999999999998</v>
      </c>
      <c r="V194" s="148">
        <v>0.63200000000000001</v>
      </c>
      <c r="W194" s="147">
        <v>1.83</v>
      </c>
    </row>
    <row r="195" spans="1:23" ht="13.5" thickBot="1" x14ac:dyDescent="0.25">
      <c r="A195" s="76"/>
      <c r="B195" s="73"/>
      <c r="C195" s="75"/>
      <c r="D195" s="72"/>
      <c r="E195" s="78"/>
      <c r="S195" s="151">
        <v>44242</v>
      </c>
      <c r="T195" s="146">
        <v>89.245999999999995</v>
      </c>
      <c r="U195" s="146">
        <v>89.302000000000007</v>
      </c>
      <c r="V195" s="148">
        <v>0.64100000000000001</v>
      </c>
      <c r="W195" s="147">
        <v>1.79</v>
      </c>
    </row>
    <row r="196" spans="1:23" ht="13.5" thickBot="1" x14ac:dyDescent="0.25">
      <c r="A196" s="76"/>
      <c r="B196" s="73"/>
      <c r="C196" s="75"/>
      <c r="D196" s="72"/>
      <c r="E196" s="78"/>
      <c r="S196" s="151">
        <v>44242</v>
      </c>
      <c r="T196" s="146">
        <v>88.995000000000005</v>
      </c>
      <c r="U196" s="146">
        <v>89.05</v>
      </c>
      <c r="V196" s="148">
        <v>0.64</v>
      </c>
      <c r="W196" s="147">
        <v>1.84</v>
      </c>
    </row>
    <row r="197" spans="1:23" ht="13.5" thickBot="1" x14ac:dyDescent="0.25">
      <c r="A197" s="76"/>
      <c r="B197" s="73"/>
      <c r="C197" s="75"/>
      <c r="D197" s="72"/>
      <c r="E197" s="78"/>
      <c r="S197" s="151">
        <v>44331</v>
      </c>
      <c r="T197" s="146">
        <v>88.528000000000006</v>
      </c>
      <c r="U197" s="146">
        <v>88.585999999999999</v>
      </c>
      <c r="V197" s="148">
        <v>0.66</v>
      </c>
      <c r="W197" s="147">
        <v>1.85</v>
      </c>
    </row>
    <row r="198" spans="1:23" ht="13.5" thickBot="1" x14ac:dyDescent="0.25">
      <c r="A198" s="76"/>
      <c r="B198" s="73"/>
      <c r="C198" s="75"/>
      <c r="D198" s="72"/>
      <c r="E198" s="78"/>
      <c r="S198" s="151">
        <v>44331</v>
      </c>
      <c r="T198" s="146">
        <v>88.298000000000002</v>
      </c>
      <c r="U198" s="146">
        <v>88.355000000000004</v>
      </c>
      <c r="V198" s="148">
        <v>0.65900000000000003</v>
      </c>
      <c r="W198" s="147">
        <v>1.89</v>
      </c>
    </row>
    <row r="199" spans="1:23" ht="13.5" thickBot="1" x14ac:dyDescent="0.25">
      <c r="A199" s="76"/>
      <c r="B199" s="73"/>
      <c r="C199" s="75"/>
      <c r="D199" s="72"/>
      <c r="E199" s="78"/>
      <c r="S199" s="151">
        <v>44423</v>
      </c>
      <c r="T199" s="146">
        <v>87.971000000000004</v>
      </c>
      <c r="U199" s="146">
        <v>88.03</v>
      </c>
      <c r="V199" s="148">
        <v>0.69599999999999995</v>
      </c>
      <c r="W199" s="147">
        <v>1.87</v>
      </c>
    </row>
    <row r="200" spans="1:23" ht="13.5" thickBot="1" x14ac:dyDescent="0.25">
      <c r="A200" s="76"/>
      <c r="B200" s="73"/>
      <c r="C200" s="75"/>
      <c r="D200" s="72"/>
      <c r="E200" s="78"/>
      <c r="S200" s="151">
        <v>44423</v>
      </c>
      <c r="T200" s="146">
        <v>87.733000000000004</v>
      </c>
      <c r="U200" s="146">
        <v>87.792000000000002</v>
      </c>
      <c r="V200" s="148">
        <v>0.69399999999999995</v>
      </c>
      <c r="W200" s="147">
        <v>1.91</v>
      </c>
    </row>
    <row r="201" spans="1:23" ht="13.5" thickBot="1" x14ac:dyDescent="0.25">
      <c r="A201" s="76"/>
      <c r="B201" s="73"/>
      <c r="C201" s="75"/>
      <c r="D201" s="72"/>
      <c r="E201" s="78"/>
      <c r="S201" s="151">
        <v>44515</v>
      </c>
      <c r="T201" s="146">
        <v>87.176000000000002</v>
      </c>
      <c r="U201" s="146">
        <v>87.236999999999995</v>
      </c>
      <c r="V201" s="148">
        <v>0.71499999999999997</v>
      </c>
      <c r="W201" s="147">
        <v>1.94</v>
      </c>
    </row>
    <row r="202" spans="1:23" ht="13.5" thickBot="1" x14ac:dyDescent="0.25">
      <c r="A202" s="76"/>
      <c r="B202" s="73"/>
      <c r="C202" s="75"/>
      <c r="D202" s="72"/>
      <c r="E202" s="78"/>
      <c r="S202" s="151">
        <v>44515</v>
      </c>
      <c r="T202" s="146">
        <v>86.932000000000002</v>
      </c>
      <c r="U202" s="146">
        <v>86.992999999999995</v>
      </c>
      <c r="V202" s="148">
        <v>0.71299999999999997</v>
      </c>
      <c r="W202" s="147">
        <v>1.98</v>
      </c>
    </row>
    <row r="203" spans="1:23" ht="13.5" thickBot="1" x14ac:dyDescent="0.25">
      <c r="A203" s="76"/>
      <c r="B203" s="73"/>
      <c r="C203" s="75"/>
      <c r="D203" s="72"/>
      <c r="E203" s="78"/>
      <c r="S203" s="151">
        <v>44607</v>
      </c>
      <c r="T203" s="146">
        <v>86.558999999999997</v>
      </c>
      <c r="U203" s="146">
        <v>86.622</v>
      </c>
      <c r="V203" s="148">
        <v>0.68300000000000005</v>
      </c>
      <c r="W203" s="147">
        <v>1.97</v>
      </c>
    </row>
    <row r="204" spans="1:23" ht="13.5" thickBot="1" x14ac:dyDescent="0.25">
      <c r="A204" s="76"/>
      <c r="B204" s="73"/>
      <c r="C204" s="75"/>
      <c r="D204" s="72"/>
      <c r="E204" s="78"/>
      <c r="S204" s="151">
        <v>44607</v>
      </c>
      <c r="T204" s="146">
        <v>86.152000000000001</v>
      </c>
      <c r="U204" s="146">
        <v>86.213999999999999</v>
      </c>
      <c r="V204" s="148">
        <v>0.68</v>
      </c>
      <c r="W204" s="147">
        <v>2.0299999999999998</v>
      </c>
    </row>
    <row r="205" spans="1:23" ht="13.5" thickBot="1" x14ac:dyDescent="0.25">
      <c r="A205" s="76"/>
      <c r="B205" s="73"/>
      <c r="C205" s="75"/>
      <c r="D205" s="72"/>
      <c r="E205" s="78"/>
      <c r="S205" s="151">
        <v>44696</v>
      </c>
      <c r="T205" s="146">
        <v>85.909000000000006</v>
      </c>
      <c r="U205" s="146">
        <v>85.972999999999999</v>
      </c>
      <c r="V205" s="148">
        <v>0.70199999999999996</v>
      </c>
      <c r="W205" s="147">
        <v>2</v>
      </c>
    </row>
    <row r="206" spans="1:23" ht="13.5" thickBot="1" x14ac:dyDescent="0.25">
      <c r="A206" s="76"/>
      <c r="B206" s="73"/>
      <c r="C206" s="75"/>
      <c r="D206" s="72"/>
      <c r="E206" s="78"/>
      <c r="S206" s="151">
        <v>44696</v>
      </c>
      <c r="T206" s="146">
        <v>85.506</v>
      </c>
      <c r="U206" s="146">
        <v>85.570999999999998</v>
      </c>
      <c r="V206" s="148">
        <v>0.69699999999999995</v>
      </c>
      <c r="W206" s="147">
        <v>2.0699999999999998</v>
      </c>
    </row>
    <row r="207" spans="1:23" ht="13.5" thickBot="1" x14ac:dyDescent="0.25">
      <c r="A207" s="76"/>
      <c r="B207" s="73"/>
      <c r="C207" s="75"/>
      <c r="D207" s="72"/>
      <c r="E207" s="78"/>
      <c r="S207" s="151">
        <v>44788</v>
      </c>
      <c r="T207" s="146">
        <v>85.364000000000004</v>
      </c>
      <c r="U207" s="146">
        <v>85.43</v>
      </c>
      <c r="V207" s="148">
        <v>0.72</v>
      </c>
      <c r="W207" s="147">
        <v>2.02</v>
      </c>
    </row>
    <row r="208" spans="1:23" ht="13.5" thickBot="1" x14ac:dyDescent="0.25">
      <c r="A208" s="76"/>
      <c r="B208" s="73"/>
      <c r="C208" s="75"/>
      <c r="D208" s="72"/>
      <c r="E208" s="78"/>
      <c r="S208" s="151">
        <v>44788</v>
      </c>
      <c r="T208" s="146">
        <v>84.852000000000004</v>
      </c>
      <c r="U208" s="146">
        <v>84.918000000000006</v>
      </c>
      <c r="V208" s="148">
        <v>0.71499999999999997</v>
      </c>
      <c r="W208" s="147">
        <v>2.1</v>
      </c>
    </row>
    <row r="209" spans="1:23" ht="13.5" thickBot="1" x14ac:dyDescent="0.25">
      <c r="A209" s="76"/>
      <c r="B209" s="73"/>
      <c r="C209" s="75"/>
      <c r="D209" s="72"/>
      <c r="E209" s="78"/>
      <c r="S209" s="151">
        <v>44880</v>
      </c>
      <c r="T209" s="146">
        <v>84.611000000000004</v>
      </c>
      <c r="U209" s="146">
        <v>84.679000000000002</v>
      </c>
      <c r="V209" s="148">
        <v>0.70199999999999996</v>
      </c>
      <c r="W209" s="147">
        <v>2.0699999999999998</v>
      </c>
    </row>
    <row r="210" spans="1:23" ht="13.5" thickBot="1" x14ac:dyDescent="0.25">
      <c r="A210" s="76"/>
      <c r="B210" s="73"/>
      <c r="C210" s="75"/>
      <c r="D210" s="72"/>
      <c r="E210" s="78"/>
      <c r="S210" s="151">
        <v>44880</v>
      </c>
      <c r="T210" s="146">
        <v>84.611000000000004</v>
      </c>
      <c r="U210" s="146">
        <v>84.679000000000002</v>
      </c>
      <c r="V210" s="148">
        <v>0.752</v>
      </c>
      <c r="W210" s="147">
        <v>2.0699999999999998</v>
      </c>
    </row>
    <row r="211" spans="1:23" ht="13.5" thickBot="1" x14ac:dyDescent="0.25">
      <c r="A211" s="76"/>
      <c r="B211" s="73"/>
      <c r="C211" s="75"/>
      <c r="D211" s="72"/>
      <c r="E211" s="78"/>
      <c r="S211" s="151">
        <v>44880</v>
      </c>
      <c r="T211" s="146">
        <v>84.004000000000005</v>
      </c>
      <c r="U211" s="146">
        <v>84.072000000000003</v>
      </c>
      <c r="V211" s="148">
        <v>0.69599999999999995</v>
      </c>
      <c r="W211" s="147">
        <v>2.16</v>
      </c>
    </row>
    <row r="212" spans="1:23" ht="13.5" thickBot="1" x14ac:dyDescent="0.25">
      <c r="A212" s="76"/>
      <c r="B212" s="73"/>
      <c r="C212" s="75"/>
      <c r="D212" s="72"/>
      <c r="E212" s="78"/>
      <c r="S212" s="151">
        <v>44972</v>
      </c>
      <c r="T212" s="146">
        <v>83.881</v>
      </c>
      <c r="U212" s="146">
        <v>83.95</v>
      </c>
      <c r="V212" s="148">
        <v>0.71699999999999997</v>
      </c>
      <c r="W212" s="147">
        <v>2.11</v>
      </c>
    </row>
    <row r="213" spans="1:23" ht="13.5" thickBot="1" x14ac:dyDescent="0.25">
      <c r="A213" s="76"/>
      <c r="B213" s="73"/>
      <c r="C213" s="75"/>
      <c r="D213" s="72"/>
      <c r="E213" s="78"/>
      <c r="S213" s="151">
        <v>44972</v>
      </c>
      <c r="T213" s="146">
        <v>83.311999999999998</v>
      </c>
      <c r="U213" s="146">
        <v>83.381</v>
      </c>
      <c r="V213" s="148">
        <v>0.71199999999999997</v>
      </c>
      <c r="W213" s="147">
        <v>2.19</v>
      </c>
    </row>
    <row r="214" spans="1:23" ht="13.5" thickBot="1" x14ac:dyDescent="0.25">
      <c r="A214" s="76"/>
      <c r="B214" s="73"/>
      <c r="C214" s="75"/>
      <c r="D214" s="72"/>
      <c r="E214" s="78"/>
      <c r="S214" s="151">
        <v>45061</v>
      </c>
      <c r="T214" s="146">
        <v>82.629000000000005</v>
      </c>
      <c r="U214" s="146">
        <v>82.698999999999998</v>
      </c>
      <c r="V214" s="148">
        <v>0.72699999999999998</v>
      </c>
      <c r="W214" s="147">
        <v>2.2200000000000002</v>
      </c>
    </row>
    <row r="215" spans="1:23" ht="13.5" thickBot="1" x14ac:dyDescent="0.25">
      <c r="A215" s="76"/>
      <c r="B215" s="73"/>
      <c r="C215" s="75"/>
      <c r="D215" s="72"/>
      <c r="E215" s="78"/>
      <c r="S215" s="151">
        <v>45061</v>
      </c>
      <c r="T215" s="146">
        <v>83.263000000000005</v>
      </c>
      <c r="U215" s="146">
        <v>83.332999999999998</v>
      </c>
      <c r="V215" s="148">
        <v>0.76800000000000002</v>
      </c>
      <c r="W215" s="147">
        <v>2.13</v>
      </c>
    </row>
    <row r="216" spans="1:23" ht="13.5" thickBot="1" x14ac:dyDescent="0.25">
      <c r="A216" s="76"/>
      <c r="B216" s="73"/>
      <c r="C216" s="75"/>
      <c r="D216" s="72"/>
      <c r="E216" s="78"/>
      <c r="S216" s="151">
        <v>45153</v>
      </c>
      <c r="T216" s="146">
        <v>82.584999999999994</v>
      </c>
      <c r="U216" s="146">
        <v>82.656999999999996</v>
      </c>
      <c r="V216" s="148">
        <v>0.73</v>
      </c>
      <c r="W216" s="147">
        <v>2.17</v>
      </c>
    </row>
    <row r="217" spans="1:23" ht="13.5" thickBot="1" x14ac:dyDescent="0.25">
      <c r="A217" s="76"/>
      <c r="B217" s="73"/>
      <c r="C217" s="75"/>
      <c r="D217" s="72"/>
      <c r="E217" s="78"/>
      <c r="S217" s="151">
        <v>45153</v>
      </c>
      <c r="T217" s="146">
        <v>82.674999999999997</v>
      </c>
      <c r="U217" s="146">
        <v>82.747</v>
      </c>
      <c r="V217" s="148">
        <v>0.78400000000000003</v>
      </c>
      <c r="W217" s="147">
        <v>2.15</v>
      </c>
    </row>
    <row r="218" spans="1:23" ht="13.5" thickBot="1" x14ac:dyDescent="0.25">
      <c r="A218" s="76"/>
      <c r="B218" s="73"/>
      <c r="C218" s="75"/>
      <c r="D218" s="72"/>
      <c r="E218" s="78"/>
      <c r="S218" s="151">
        <v>45153</v>
      </c>
      <c r="T218" s="146">
        <v>81.92</v>
      </c>
      <c r="U218" s="146">
        <v>81.992000000000004</v>
      </c>
      <c r="V218" s="148">
        <v>0.72399999999999998</v>
      </c>
      <c r="W218" s="147">
        <v>2.2599999999999998</v>
      </c>
    </row>
    <row r="219" spans="1:23" ht="13.5" thickBot="1" x14ac:dyDescent="0.25">
      <c r="A219" s="76"/>
      <c r="B219" s="73"/>
      <c r="C219" s="75"/>
      <c r="D219" s="72"/>
      <c r="E219" s="78"/>
      <c r="S219" s="151">
        <v>45245</v>
      </c>
      <c r="T219" s="146">
        <v>81.972999999999999</v>
      </c>
      <c r="U219" s="146">
        <v>82.046999999999997</v>
      </c>
      <c r="V219" s="148">
        <v>0.745</v>
      </c>
      <c r="W219" s="147">
        <v>2.19</v>
      </c>
    </row>
    <row r="220" spans="1:23" ht="13.5" thickBot="1" x14ac:dyDescent="0.25">
      <c r="A220" s="76"/>
      <c r="B220" s="73"/>
      <c r="C220" s="75"/>
      <c r="D220" s="72"/>
      <c r="E220" s="78"/>
      <c r="S220" s="151">
        <v>45245</v>
      </c>
      <c r="T220" s="146">
        <v>81.313000000000002</v>
      </c>
      <c r="U220" s="146">
        <v>81.385999999999996</v>
      </c>
      <c r="V220" s="148">
        <v>0.73899999999999999</v>
      </c>
      <c r="W220" s="147">
        <v>2.2799999999999998</v>
      </c>
    </row>
    <row r="221" spans="1:23" ht="13.5" thickBot="1" x14ac:dyDescent="0.25">
      <c r="A221" s="76"/>
      <c r="B221" s="73"/>
      <c r="C221" s="75"/>
      <c r="D221" s="72"/>
      <c r="E221" s="78"/>
      <c r="S221" s="151">
        <v>45337</v>
      </c>
      <c r="T221" s="146">
        <v>80.665000000000006</v>
      </c>
      <c r="U221" s="146">
        <v>80.739000000000004</v>
      </c>
      <c r="V221" s="148">
        <v>0.753</v>
      </c>
      <c r="W221" s="147">
        <v>2.31</v>
      </c>
    </row>
    <row r="222" spans="1:23" ht="13.5" thickBot="1" x14ac:dyDescent="0.25">
      <c r="A222" s="76"/>
      <c r="B222" s="73"/>
      <c r="C222" s="75"/>
      <c r="D222" s="72"/>
      <c r="E222" s="78"/>
      <c r="S222" s="151">
        <v>45427</v>
      </c>
      <c r="T222" s="146">
        <v>79.992999999999995</v>
      </c>
      <c r="U222" s="146">
        <v>80.069000000000003</v>
      </c>
      <c r="V222" s="148">
        <v>0.76600000000000001</v>
      </c>
      <c r="W222" s="147">
        <v>2.33</v>
      </c>
    </row>
    <row r="223" spans="1:23" ht="13.5" thickBot="1" x14ac:dyDescent="0.25">
      <c r="A223" s="76"/>
      <c r="B223" s="73"/>
      <c r="C223" s="75"/>
      <c r="D223" s="72"/>
      <c r="E223" s="78"/>
      <c r="S223" s="151">
        <v>45519</v>
      </c>
      <c r="T223" s="146">
        <v>79.278000000000006</v>
      </c>
      <c r="U223" s="146">
        <v>79.355000000000004</v>
      </c>
      <c r="V223" s="148">
        <v>0.76</v>
      </c>
      <c r="W223" s="147">
        <v>2.37</v>
      </c>
    </row>
    <row r="224" spans="1:23" ht="13.5" thickBot="1" x14ac:dyDescent="0.25">
      <c r="A224" s="76"/>
      <c r="B224" s="73"/>
      <c r="C224" s="75"/>
      <c r="D224" s="72"/>
      <c r="E224" s="78"/>
      <c r="S224" s="151">
        <v>45611</v>
      </c>
      <c r="T224" s="146">
        <v>79.403000000000006</v>
      </c>
      <c r="U224" s="146">
        <v>79.481999999999999</v>
      </c>
      <c r="V224" s="148">
        <v>0.78</v>
      </c>
      <c r="W224" s="147">
        <v>2.29</v>
      </c>
    </row>
    <row r="225" spans="1:23" ht="13.5" thickBot="1" x14ac:dyDescent="0.25">
      <c r="A225" s="76"/>
      <c r="B225" s="73"/>
      <c r="C225" s="75"/>
      <c r="D225" s="72"/>
      <c r="E225" s="78"/>
      <c r="S225" s="151">
        <v>45611</v>
      </c>
      <c r="T225" s="146">
        <v>78.516999999999996</v>
      </c>
      <c r="U225" s="146">
        <v>78.596000000000004</v>
      </c>
      <c r="V225" s="148">
        <v>0.77100000000000002</v>
      </c>
      <c r="W225" s="147">
        <v>2.4</v>
      </c>
    </row>
    <row r="226" spans="1:23" ht="13.5" thickBot="1" x14ac:dyDescent="0.25">
      <c r="A226" s="76"/>
      <c r="B226" s="73"/>
      <c r="C226" s="75"/>
      <c r="D226" s="72"/>
      <c r="E226" s="78"/>
      <c r="S226" s="151">
        <v>45703</v>
      </c>
      <c r="T226" s="146">
        <v>78.728999999999999</v>
      </c>
      <c r="U226" s="146">
        <v>78.808999999999997</v>
      </c>
      <c r="V226" s="148">
        <v>0.79300000000000004</v>
      </c>
      <c r="W226" s="147">
        <v>2.3199999999999998</v>
      </c>
    </row>
    <row r="227" spans="1:23" ht="13.5" thickBot="1" x14ac:dyDescent="0.25">
      <c r="A227" s="76"/>
      <c r="B227" s="73"/>
      <c r="C227" s="75"/>
      <c r="D227" s="72"/>
      <c r="E227" s="78"/>
      <c r="S227" s="151">
        <v>45703</v>
      </c>
      <c r="T227" s="146">
        <v>77.790000000000006</v>
      </c>
      <c r="U227" s="146">
        <v>77.869</v>
      </c>
      <c r="V227" s="148">
        <v>0.78300000000000003</v>
      </c>
      <c r="W227" s="147">
        <v>2.4300000000000002</v>
      </c>
    </row>
    <row r="228" spans="1:23" ht="13.5" thickBot="1" x14ac:dyDescent="0.25">
      <c r="A228" s="76"/>
      <c r="B228" s="73"/>
      <c r="C228" s="75"/>
      <c r="D228" s="72"/>
      <c r="E228" s="78"/>
      <c r="S228" s="151">
        <v>45792</v>
      </c>
      <c r="T228" s="146">
        <v>77.137</v>
      </c>
      <c r="U228" s="146">
        <v>77.216999999999999</v>
      </c>
      <c r="V228" s="148">
        <v>0.79500000000000004</v>
      </c>
      <c r="W228" s="147">
        <v>2.46</v>
      </c>
    </row>
    <row r="229" spans="1:23" ht="13.5" thickBot="1" x14ac:dyDescent="0.25">
      <c r="A229" s="76"/>
      <c r="B229" s="73"/>
      <c r="C229" s="75"/>
      <c r="D229" s="72"/>
      <c r="E229" s="78"/>
      <c r="S229" s="151">
        <v>45884</v>
      </c>
      <c r="T229" s="146">
        <v>77.387</v>
      </c>
      <c r="U229" s="146">
        <v>77.468999999999994</v>
      </c>
      <c r="V229" s="148">
        <v>0.77500000000000002</v>
      </c>
      <c r="W229" s="147">
        <v>2.37</v>
      </c>
    </row>
    <row r="230" spans="1:23" ht="13.5" thickBot="1" x14ac:dyDescent="0.25">
      <c r="A230" s="76"/>
      <c r="B230" s="73"/>
      <c r="C230" s="75"/>
      <c r="D230" s="72"/>
      <c r="E230" s="78"/>
      <c r="S230" s="151">
        <v>45884</v>
      </c>
      <c r="T230" s="146">
        <v>76.418999999999997</v>
      </c>
      <c r="U230" s="146">
        <v>76.501000000000005</v>
      </c>
      <c r="V230" s="148">
        <v>0.76500000000000001</v>
      </c>
      <c r="W230" s="147">
        <v>2.4900000000000002</v>
      </c>
    </row>
    <row r="231" spans="1:23" ht="13.5" thickBot="1" x14ac:dyDescent="0.25">
      <c r="A231" s="76"/>
      <c r="B231" s="73"/>
      <c r="C231" s="75"/>
      <c r="D231" s="72"/>
      <c r="E231" s="78"/>
      <c r="S231" s="151">
        <v>45976</v>
      </c>
      <c r="T231" s="146">
        <v>75.718000000000004</v>
      </c>
      <c r="U231" s="146">
        <v>75.801000000000002</v>
      </c>
      <c r="V231" s="148">
        <v>0.77500000000000002</v>
      </c>
      <c r="W231" s="147">
        <v>2.52</v>
      </c>
    </row>
    <row r="232" spans="1:23" ht="13.5" thickBot="1" x14ac:dyDescent="0.25">
      <c r="A232" s="76"/>
      <c r="B232" s="73"/>
      <c r="C232" s="75"/>
      <c r="D232" s="72"/>
      <c r="E232" s="78"/>
      <c r="S232" s="151">
        <v>46068</v>
      </c>
      <c r="T232" s="146">
        <v>75.971000000000004</v>
      </c>
      <c r="U232" s="146">
        <v>76.055999999999997</v>
      </c>
      <c r="V232" s="148">
        <v>0.77100000000000002</v>
      </c>
      <c r="W232" s="147">
        <v>2.4300000000000002</v>
      </c>
    </row>
    <row r="233" spans="1:23" ht="13.5" thickBot="1" x14ac:dyDescent="0.25">
      <c r="A233" s="76"/>
      <c r="B233" s="73"/>
      <c r="C233" s="75"/>
      <c r="D233" s="72"/>
      <c r="E233" s="78"/>
      <c r="S233" s="151">
        <v>46068</v>
      </c>
      <c r="T233" s="146">
        <v>75.02</v>
      </c>
      <c r="U233" s="146">
        <v>75.103999999999999</v>
      </c>
      <c r="V233" s="148">
        <v>0.76100000000000001</v>
      </c>
      <c r="W233" s="147">
        <v>2.54</v>
      </c>
    </row>
    <row r="234" spans="1:23" ht="13.5" thickBot="1" x14ac:dyDescent="0.25">
      <c r="A234" s="76"/>
      <c r="B234" s="73"/>
      <c r="C234" s="75"/>
      <c r="D234" s="72"/>
      <c r="E234" s="78"/>
      <c r="S234" s="151">
        <v>46157</v>
      </c>
      <c r="T234" s="146">
        <v>74.375</v>
      </c>
      <c r="U234" s="146">
        <v>74.459999999999994</v>
      </c>
      <c r="V234" s="148">
        <v>0.77</v>
      </c>
      <c r="W234" s="147">
        <v>2.56</v>
      </c>
    </row>
    <row r="235" spans="1:23" ht="13.5" thickBot="1" x14ac:dyDescent="0.25">
      <c r="A235" s="76"/>
      <c r="B235" s="73"/>
      <c r="C235" s="75"/>
      <c r="D235" s="72"/>
      <c r="E235" s="78"/>
      <c r="S235" s="151">
        <v>46249</v>
      </c>
      <c r="T235" s="146">
        <v>74.683000000000007</v>
      </c>
      <c r="U235" s="146">
        <v>74.77</v>
      </c>
      <c r="V235" s="148">
        <v>0.79</v>
      </c>
      <c r="W235" s="147">
        <v>2.4700000000000002</v>
      </c>
    </row>
    <row r="236" spans="1:23" ht="13.5" thickBot="1" x14ac:dyDescent="0.25">
      <c r="A236" s="76"/>
      <c r="B236" s="73"/>
      <c r="C236" s="75"/>
      <c r="D236" s="72"/>
      <c r="E236" s="78"/>
      <c r="S236" s="151">
        <v>46249</v>
      </c>
      <c r="T236" s="146">
        <v>73.728999999999999</v>
      </c>
      <c r="U236" s="146">
        <v>73.814999999999998</v>
      </c>
      <c r="V236" s="148">
        <v>0.78</v>
      </c>
      <c r="W236" s="147">
        <v>2.58</v>
      </c>
    </row>
    <row r="237" spans="1:23" ht="13.5" thickBot="1" x14ac:dyDescent="0.25">
      <c r="A237" s="76"/>
      <c r="B237" s="73"/>
      <c r="C237" s="75"/>
      <c r="D237" s="72"/>
      <c r="E237" s="78"/>
      <c r="S237" s="151">
        <v>46341</v>
      </c>
      <c r="T237" s="146">
        <v>74.025000000000006</v>
      </c>
      <c r="U237" s="146">
        <v>74.113</v>
      </c>
      <c r="V237" s="148">
        <v>0.79900000000000004</v>
      </c>
      <c r="W237" s="147">
        <v>2.4900000000000002</v>
      </c>
    </row>
    <row r="238" spans="1:23" ht="13.5" thickBot="1" x14ac:dyDescent="0.25">
      <c r="A238" s="76"/>
      <c r="B238" s="73"/>
      <c r="C238" s="75"/>
      <c r="D238" s="72"/>
      <c r="E238" s="78"/>
      <c r="S238" s="151">
        <v>46341</v>
      </c>
      <c r="T238" s="146">
        <v>73.081000000000003</v>
      </c>
      <c r="U238" s="146">
        <v>73.168999999999997</v>
      </c>
      <c r="V238" s="148">
        <v>0.78900000000000003</v>
      </c>
      <c r="W238" s="147">
        <v>2.6</v>
      </c>
    </row>
    <row r="239" spans="1:23" ht="13.5" thickBot="1" x14ac:dyDescent="0.25">
      <c r="A239" s="76"/>
      <c r="B239" s="73"/>
      <c r="C239" s="75"/>
      <c r="D239" s="72"/>
      <c r="E239" s="78"/>
      <c r="S239" s="151">
        <v>46433</v>
      </c>
      <c r="T239" s="146">
        <v>73.364000000000004</v>
      </c>
      <c r="U239" s="146">
        <v>73.453999999999994</v>
      </c>
      <c r="V239" s="148">
        <v>0.78600000000000003</v>
      </c>
      <c r="W239" s="147">
        <v>2.52</v>
      </c>
    </row>
    <row r="240" spans="1:23" ht="13.5" thickBot="1" x14ac:dyDescent="0.25">
      <c r="A240" s="76"/>
      <c r="B240" s="73"/>
      <c r="C240" s="75"/>
      <c r="D240" s="72"/>
      <c r="E240" s="78"/>
      <c r="S240" s="151">
        <v>46433</v>
      </c>
      <c r="T240" s="146">
        <v>72.388000000000005</v>
      </c>
      <c r="U240" s="146">
        <v>72.475999999999999</v>
      </c>
      <c r="V240" s="148">
        <v>0.77500000000000002</v>
      </c>
      <c r="W240" s="147">
        <v>2.63</v>
      </c>
    </row>
    <row r="241" spans="1:23" ht="13.5" thickBot="1" x14ac:dyDescent="0.25">
      <c r="A241" s="76"/>
      <c r="B241" s="73"/>
      <c r="C241" s="75"/>
      <c r="D241" s="72"/>
      <c r="E241" s="78"/>
      <c r="S241" s="151">
        <v>46522</v>
      </c>
      <c r="T241" s="146">
        <v>71.759</v>
      </c>
      <c r="U241" s="146">
        <v>71.849000000000004</v>
      </c>
      <c r="V241" s="148">
        <v>0.78400000000000003</v>
      </c>
      <c r="W241" s="147">
        <v>2.64</v>
      </c>
    </row>
    <row r="242" spans="1:23" ht="13.5" thickBot="1" x14ac:dyDescent="0.25">
      <c r="A242" s="76"/>
      <c r="B242" s="73"/>
      <c r="C242" s="75"/>
      <c r="D242" s="72"/>
      <c r="E242" s="78"/>
      <c r="S242" s="151">
        <v>46614</v>
      </c>
      <c r="T242" s="146">
        <v>72.105000000000004</v>
      </c>
      <c r="U242" s="146">
        <v>72.197000000000003</v>
      </c>
      <c r="V242" s="148">
        <v>0.80300000000000005</v>
      </c>
      <c r="W242" s="147">
        <v>2.5499999999999998</v>
      </c>
    </row>
    <row r="243" spans="1:23" ht="13.5" thickBot="1" x14ac:dyDescent="0.25">
      <c r="A243" s="76"/>
      <c r="B243" s="73"/>
      <c r="C243" s="75"/>
      <c r="D243" s="72"/>
      <c r="E243" s="78"/>
      <c r="S243" s="151">
        <v>46614</v>
      </c>
      <c r="T243" s="146">
        <v>71.108000000000004</v>
      </c>
      <c r="U243" s="146">
        <v>71.197999999999993</v>
      </c>
      <c r="V243" s="148">
        <v>0.79300000000000004</v>
      </c>
      <c r="W243" s="147">
        <v>2.66</v>
      </c>
    </row>
    <row r="244" spans="1:23" ht="13.5" thickBot="1" x14ac:dyDescent="0.25">
      <c r="A244" s="76"/>
      <c r="B244" s="73"/>
      <c r="C244" s="75"/>
      <c r="D244" s="72"/>
      <c r="E244" s="78"/>
      <c r="S244" s="151">
        <v>46706</v>
      </c>
      <c r="T244" s="146">
        <v>71.394000000000005</v>
      </c>
      <c r="U244" s="146">
        <v>71.486000000000004</v>
      </c>
      <c r="V244" s="148">
        <v>0.81100000000000005</v>
      </c>
      <c r="W244" s="147">
        <v>2.58</v>
      </c>
    </row>
    <row r="245" spans="1:23" ht="13.5" thickBot="1" x14ac:dyDescent="0.25">
      <c r="A245" s="76"/>
      <c r="B245" s="73"/>
      <c r="C245" s="75"/>
      <c r="D245" s="72"/>
      <c r="E245" s="78"/>
      <c r="S245" s="151">
        <v>46706</v>
      </c>
      <c r="T245" s="146">
        <v>70.432000000000002</v>
      </c>
      <c r="U245" s="146">
        <v>70.522999999999996</v>
      </c>
      <c r="V245" s="148">
        <v>0.8</v>
      </c>
      <c r="W245" s="147">
        <v>2.69</v>
      </c>
    </row>
    <row r="246" spans="1:23" ht="13.5" thickBot="1" x14ac:dyDescent="0.25">
      <c r="A246" s="76"/>
      <c r="B246" s="73"/>
      <c r="C246" s="75"/>
      <c r="D246" s="72"/>
      <c r="E246" s="78"/>
      <c r="S246" s="151">
        <v>46798</v>
      </c>
      <c r="T246" s="146">
        <v>69.823999999999998</v>
      </c>
      <c r="U246" s="146">
        <v>69.915999999999997</v>
      </c>
      <c r="V246" s="148">
        <v>0.80800000000000005</v>
      </c>
      <c r="W246" s="147">
        <v>2.7</v>
      </c>
    </row>
    <row r="247" spans="1:23" ht="13.5" thickBot="1" x14ac:dyDescent="0.25">
      <c r="A247" s="76"/>
      <c r="B247" s="73"/>
      <c r="C247" s="75"/>
      <c r="D247" s="72"/>
      <c r="E247" s="78"/>
      <c r="S247" s="151">
        <v>46888</v>
      </c>
      <c r="T247" s="146">
        <v>69.239000000000004</v>
      </c>
      <c r="U247" s="146">
        <v>69.331999999999994</v>
      </c>
      <c r="V247" s="148">
        <v>0.81599999999999995</v>
      </c>
      <c r="W247" s="147">
        <v>2.71</v>
      </c>
    </row>
    <row r="248" spans="1:23" ht="13.5" thickBot="1" x14ac:dyDescent="0.25">
      <c r="A248" s="76"/>
      <c r="B248" s="73"/>
      <c r="C248" s="75"/>
      <c r="D248" s="72"/>
      <c r="E248" s="78"/>
      <c r="S248" s="151">
        <v>46980</v>
      </c>
      <c r="T248" s="146">
        <v>69.646000000000001</v>
      </c>
      <c r="U248" s="146">
        <v>69.741</v>
      </c>
      <c r="V248" s="148">
        <v>0.83599999999999997</v>
      </c>
      <c r="W248" s="147">
        <v>2.62</v>
      </c>
    </row>
    <row r="249" spans="1:23" ht="13.5" thickBot="1" x14ac:dyDescent="0.25">
      <c r="A249" s="76"/>
      <c r="B249" s="73"/>
      <c r="C249" s="75"/>
      <c r="D249" s="72"/>
      <c r="E249" s="78"/>
      <c r="S249" s="151">
        <v>46980</v>
      </c>
      <c r="T249" s="146">
        <v>68.655000000000001</v>
      </c>
      <c r="U249" s="146">
        <v>68.748999999999995</v>
      </c>
      <c r="V249" s="148">
        <v>0.82399999999999995</v>
      </c>
      <c r="W249" s="147">
        <v>2.73</v>
      </c>
    </row>
    <row r="250" spans="1:23" ht="13.5" thickBot="1" x14ac:dyDescent="0.25">
      <c r="A250" s="76"/>
      <c r="B250" s="73"/>
      <c r="C250" s="75"/>
      <c r="D250" s="72"/>
      <c r="E250" s="78"/>
      <c r="S250" s="151">
        <v>47072</v>
      </c>
      <c r="T250" s="146">
        <v>69.144000000000005</v>
      </c>
      <c r="U250" s="146">
        <v>69.241</v>
      </c>
      <c r="V250" s="148">
        <v>0.82</v>
      </c>
      <c r="W250" s="147">
        <v>2.63</v>
      </c>
    </row>
    <row r="251" spans="1:23" ht="13.5" thickBot="1" x14ac:dyDescent="0.25">
      <c r="A251" s="76"/>
      <c r="B251" s="73"/>
      <c r="C251" s="75"/>
      <c r="D251" s="72"/>
      <c r="E251" s="78"/>
      <c r="S251" s="151">
        <v>47072</v>
      </c>
      <c r="T251" s="146">
        <v>68.025000000000006</v>
      </c>
      <c r="U251" s="146">
        <v>68.119</v>
      </c>
      <c r="V251" s="148">
        <v>0.80800000000000005</v>
      </c>
      <c r="W251" s="147">
        <v>2.74</v>
      </c>
    </row>
    <row r="252" spans="1:23" ht="13.5" thickBot="1" x14ac:dyDescent="0.25">
      <c r="A252" s="76"/>
      <c r="B252" s="73"/>
      <c r="C252" s="75"/>
      <c r="D252" s="72"/>
      <c r="E252" s="78"/>
      <c r="S252" s="151">
        <v>47164</v>
      </c>
      <c r="T252" s="146">
        <v>68.426000000000002</v>
      </c>
      <c r="U252" s="146">
        <v>68.522999999999996</v>
      </c>
      <c r="V252" s="148">
        <v>0.82599999999999996</v>
      </c>
      <c r="W252" s="147">
        <v>2.65</v>
      </c>
    </row>
    <row r="253" spans="1:23" ht="13.5" thickBot="1" x14ac:dyDescent="0.25">
      <c r="A253" s="76"/>
      <c r="B253" s="73"/>
      <c r="C253" s="75"/>
      <c r="D253" s="72"/>
      <c r="E253" s="78"/>
      <c r="S253" s="151">
        <v>47164</v>
      </c>
      <c r="T253" s="146">
        <v>67.394000000000005</v>
      </c>
      <c r="U253" s="146">
        <v>67.489000000000004</v>
      </c>
      <c r="V253" s="148">
        <v>0.81399999999999995</v>
      </c>
      <c r="W253" s="147">
        <v>2.76</v>
      </c>
    </row>
    <row r="254" spans="1:23" ht="13.5" thickBot="1" x14ac:dyDescent="0.25">
      <c r="A254" s="76"/>
      <c r="B254" s="73"/>
      <c r="C254" s="75"/>
      <c r="D254" s="72"/>
      <c r="E254" s="78"/>
      <c r="S254" s="151">
        <v>47253</v>
      </c>
      <c r="T254" s="146">
        <v>66.811000000000007</v>
      </c>
      <c r="U254" s="146">
        <v>66.908000000000001</v>
      </c>
      <c r="V254" s="148">
        <v>0.82</v>
      </c>
      <c r="W254" s="147">
        <v>2.77</v>
      </c>
    </row>
    <row r="255" spans="1:23" ht="13.5" thickBot="1" x14ac:dyDescent="0.25">
      <c r="A255" s="76"/>
      <c r="B255" s="73"/>
      <c r="C255" s="75"/>
      <c r="D255" s="72"/>
      <c r="E255" s="78"/>
      <c r="S255" s="151">
        <v>47345</v>
      </c>
      <c r="T255" s="146">
        <v>67.353999999999999</v>
      </c>
      <c r="U255" s="146">
        <v>67.453000000000003</v>
      </c>
      <c r="V255" s="148">
        <v>0.84199999999999997</v>
      </c>
      <c r="W255" s="147">
        <v>2.67</v>
      </c>
    </row>
    <row r="256" spans="1:23" ht="13.5" thickBot="1" x14ac:dyDescent="0.25">
      <c r="A256" s="76"/>
      <c r="B256" s="73"/>
      <c r="C256" s="75"/>
      <c r="D256" s="72"/>
      <c r="E256" s="78"/>
      <c r="S256" s="151">
        <v>47345</v>
      </c>
      <c r="T256" s="146">
        <v>66.23</v>
      </c>
      <c r="U256" s="146">
        <v>66.326999999999998</v>
      </c>
      <c r="V256" s="148">
        <v>0.82699999999999996</v>
      </c>
      <c r="W256" s="147">
        <v>2.79</v>
      </c>
    </row>
    <row r="257" spans="1:23" ht="13.5" thickBot="1" x14ac:dyDescent="0.25">
      <c r="A257" s="76"/>
      <c r="B257" s="73"/>
      <c r="C257" s="75"/>
      <c r="D257" s="72"/>
      <c r="E257" s="78"/>
      <c r="S257" s="151">
        <v>47437</v>
      </c>
      <c r="T257" s="146">
        <v>65.697999999999993</v>
      </c>
      <c r="U257" s="146">
        <v>65.796000000000006</v>
      </c>
      <c r="V257" s="148">
        <v>0.83399999999999996</v>
      </c>
      <c r="W257" s="147">
        <v>2.8</v>
      </c>
    </row>
    <row r="258" spans="1:23" ht="13.5" thickBot="1" x14ac:dyDescent="0.25">
      <c r="A258" s="76"/>
      <c r="B258" s="73"/>
      <c r="C258" s="75"/>
      <c r="D258" s="72"/>
      <c r="E258" s="78"/>
      <c r="S258" s="151">
        <v>47529</v>
      </c>
      <c r="T258" s="146">
        <v>65.168000000000006</v>
      </c>
      <c r="U258" s="146">
        <v>65.266999999999996</v>
      </c>
      <c r="V258" s="148">
        <v>0.84099999999999997</v>
      </c>
      <c r="W258" s="147">
        <v>2.8</v>
      </c>
    </row>
    <row r="259" spans="1:23" ht="13.5" thickBot="1" x14ac:dyDescent="0.25">
      <c r="A259" s="76"/>
      <c r="B259" s="73"/>
      <c r="C259" s="75"/>
      <c r="D259" s="72"/>
      <c r="E259" s="78"/>
      <c r="S259" s="151">
        <v>47618</v>
      </c>
      <c r="T259" s="146">
        <v>65.793000000000006</v>
      </c>
      <c r="U259" s="146">
        <v>65.894999999999996</v>
      </c>
      <c r="V259" s="148">
        <v>0.86299999999999999</v>
      </c>
      <c r="W259" s="147">
        <v>2.69</v>
      </c>
    </row>
    <row r="260" spans="1:23" ht="13.5" thickBot="1" x14ac:dyDescent="0.25">
      <c r="A260" s="76"/>
      <c r="B260" s="73"/>
      <c r="C260" s="75"/>
      <c r="D260" s="72"/>
      <c r="E260" s="78"/>
      <c r="S260" s="151">
        <v>47618</v>
      </c>
      <c r="T260" s="146">
        <v>64.641000000000005</v>
      </c>
      <c r="U260" s="146">
        <v>64.739999999999995</v>
      </c>
      <c r="V260" s="148">
        <v>0.84799999999999998</v>
      </c>
      <c r="W260" s="147">
        <v>2.81</v>
      </c>
    </row>
    <row r="261" spans="1:23" ht="13.5" thickBot="1" x14ac:dyDescent="0.25">
      <c r="A261" s="76"/>
      <c r="B261" s="73"/>
      <c r="C261" s="75"/>
      <c r="D261" s="72"/>
      <c r="E261" s="78"/>
      <c r="S261" s="151">
        <v>47710</v>
      </c>
      <c r="T261" s="146">
        <v>64.14</v>
      </c>
      <c r="U261" s="146">
        <v>64.239999999999995</v>
      </c>
      <c r="V261" s="148">
        <v>0.85499999999999998</v>
      </c>
      <c r="W261" s="147">
        <v>2.81</v>
      </c>
    </row>
    <row r="262" spans="1:23" ht="13.5" thickBot="1" x14ac:dyDescent="0.25">
      <c r="A262" s="76"/>
      <c r="B262" s="73"/>
      <c r="C262" s="75"/>
      <c r="D262" s="72"/>
      <c r="E262" s="78"/>
      <c r="S262" s="151">
        <v>47802</v>
      </c>
      <c r="T262" s="146">
        <v>63.616</v>
      </c>
      <c r="U262" s="146">
        <v>63.716999999999999</v>
      </c>
      <c r="V262" s="148">
        <v>0.86099999999999999</v>
      </c>
      <c r="W262" s="147">
        <v>2.82</v>
      </c>
    </row>
    <row r="263" spans="1:23" ht="13.5" thickBot="1" x14ac:dyDescent="0.25">
      <c r="A263" s="76"/>
      <c r="B263" s="73"/>
      <c r="C263" s="75"/>
      <c r="D263" s="72"/>
      <c r="E263" s="78"/>
      <c r="S263" s="151">
        <v>47894</v>
      </c>
      <c r="T263" s="146">
        <v>64.144000000000005</v>
      </c>
      <c r="U263" s="146">
        <v>64.248000000000005</v>
      </c>
      <c r="V263" s="148">
        <v>0.88100000000000001</v>
      </c>
      <c r="W263" s="147">
        <v>2.73</v>
      </c>
    </row>
    <row r="264" spans="1:23" ht="13.5" thickBot="1" x14ac:dyDescent="0.25">
      <c r="A264" s="76"/>
      <c r="B264" s="73"/>
      <c r="C264" s="75"/>
      <c r="D264" s="72"/>
      <c r="E264" s="78"/>
      <c r="S264" s="151">
        <v>47894</v>
      </c>
      <c r="T264" s="146">
        <v>63.067999999999998</v>
      </c>
      <c r="U264" s="146">
        <v>63.17</v>
      </c>
      <c r="V264" s="148">
        <v>0.86599999999999999</v>
      </c>
      <c r="W264" s="147">
        <v>2.83</v>
      </c>
    </row>
    <row r="265" spans="1:23" ht="13.5" thickBot="1" x14ac:dyDescent="0.25">
      <c r="A265" s="76"/>
      <c r="B265" s="73"/>
      <c r="C265" s="75"/>
      <c r="D265" s="72"/>
      <c r="E265" s="78"/>
      <c r="S265" s="151">
        <v>47983</v>
      </c>
      <c r="T265" s="146">
        <v>62.548000000000002</v>
      </c>
      <c r="U265" s="146">
        <v>62.651000000000003</v>
      </c>
      <c r="V265" s="148">
        <v>0.872</v>
      </c>
      <c r="W265" s="147">
        <v>2.84</v>
      </c>
    </row>
    <row r="266" spans="1:23" ht="13.5" thickBot="1" x14ac:dyDescent="0.25">
      <c r="A266" s="76"/>
      <c r="B266" s="73"/>
      <c r="C266" s="75"/>
      <c r="D266" s="72"/>
      <c r="E266" s="78"/>
      <c r="S266" s="151">
        <v>48075</v>
      </c>
      <c r="T266" s="146">
        <v>62.03</v>
      </c>
      <c r="U266" s="146">
        <v>62.133000000000003</v>
      </c>
      <c r="V266" s="148">
        <v>0.878</v>
      </c>
      <c r="W266" s="147">
        <v>2.85</v>
      </c>
    </row>
    <row r="267" spans="1:23" ht="13.5" thickBot="1" x14ac:dyDescent="0.25">
      <c r="A267" s="76"/>
      <c r="B267" s="73"/>
      <c r="C267" s="75"/>
      <c r="D267" s="72"/>
      <c r="E267" s="78"/>
      <c r="S267" s="151">
        <v>48167</v>
      </c>
      <c r="T267" s="146">
        <v>61.514000000000003</v>
      </c>
      <c r="U267" s="146">
        <v>61.618000000000002</v>
      </c>
      <c r="V267" s="148">
        <v>0.88300000000000001</v>
      </c>
      <c r="W267" s="147">
        <v>2.86</v>
      </c>
    </row>
    <row r="268" spans="1:23" ht="13.5" thickBot="1" x14ac:dyDescent="0.25">
      <c r="A268" s="76"/>
      <c r="B268" s="73"/>
      <c r="C268" s="75"/>
      <c r="D268" s="72"/>
      <c r="E268" s="78"/>
      <c r="S268" s="151">
        <v>48259</v>
      </c>
      <c r="T268" s="146">
        <v>61</v>
      </c>
      <c r="U268" s="146">
        <v>61.103999999999999</v>
      </c>
      <c r="V268" s="148">
        <v>0.88800000000000001</v>
      </c>
      <c r="W268" s="147">
        <v>2.86</v>
      </c>
    </row>
    <row r="269" spans="1:23" ht="13.5" thickBot="1" x14ac:dyDescent="0.25">
      <c r="A269" s="76"/>
      <c r="B269" s="73"/>
      <c r="C269" s="75"/>
      <c r="D269" s="72"/>
      <c r="E269" s="78"/>
      <c r="S269" s="151">
        <v>48349</v>
      </c>
      <c r="T269" s="146">
        <v>60.488</v>
      </c>
      <c r="U269" s="146">
        <v>60.593000000000004</v>
      </c>
      <c r="V269" s="148">
        <v>0.89400000000000002</v>
      </c>
      <c r="W269" s="147">
        <v>2.87</v>
      </c>
    </row>
    <row r="270" spans="1:23" ht="13.5" thickBot="1" x14ac:dyDescent="0.25">
      <c r="A270" s="76"/>
      <c r="B270" s="73"/>
      <c r="C270" s="75"/>
      <c r="D270" s="72"/>
      <c r="E270" s="78"/>
      <c r="S270" s="151">
        <v>48441</v>
      </c>
      <c r="T270" s="146">
        <v>59.978000000000002</v>
      </c>
      <c r="U270" s="146">
        <v>60.082999999999998</v>
      </c>
      <c r="V270" s="148">
        <v>0.89800000000000002</v>
      </c>
      <c r="W270" s="147">
        <v>2.88</v>
      </c>
    </row>
    <row r="271" spans="1:23" ht="13.5" thickBot="1" x14ac:dyDescent="0.25">
      <c r="A271" s="76"/>
      <c r="B271" s="73"/>
      <c r="C271" s="75"/>
      <c r="D271" s="72"/>
      <c r="E271" s="78"/>
      <c r="S271" s="151">
        <v>48533</v>
      </c>
      <c r="T271" s="146">
        <v>59.47</v>
      </c>
      <c r="U271" s="146">
        <v>59.576000000000001</v>
      </c>
      <c r="V271" s="148">
        <v>0.90300000000000002</v>
      </c>
      <c r="W271" s="147">
        <v>2.88</v>
      </c>
    </row>
    <row r="272" spans="1:23" ht="13.5" thickBot="1" x14ac:dyDescent="0.25">
      <c r="A272" s="76"/>
      <c r="B272" s="73"/>
      <c r="C272" s="75"/>
      <c r="D272" s="72"/>
      <c r="E272" s="78"/>
      <c r="S272" s="151">
        <v>48625</v>
      </c>
      <c r="T272" s="146">
        <v>58.963999999999999</v>
      </c>
      <c r="U272" s="146">
        <v>59.070999999999998</v>
      </c>
      <c r="V272" s="148">
        <v>0.90700000000000003</v>
      </c>
      <c r="W272" s="147">
        <v>2.89</v>
      </c>
    </row>
    <row r="273" spans="1:23" ht="13.5" thickBot="1" x14ac:dyDescent="0.25">
      <c r="A273" s="76"/>
      <c r="B273" s="73"/>
      <c r="C273" s="75"/>
      <c r="D273" s="72"/>
      <c r="E273" s="78"/>
      <c r="S273" s="151">
        <v>48714</v>
      </c>
      <c r="T273" s="146">
        <v>58.460999999999999</v>
      </c>
      <c r="U273" s="146">
        <v>58.567999999999998</v>
      </c>
      <c r="V273" s="148">
        <v>0.91200000000000003</v>
      </c>
      <c r="W273" s="147">
        <v>2.9</v>
      </c>
    </row>
    <row r="274" spans="1:23" ht="13.5" thickBot="1" x14ac:dyDescent="0.25">
      <c r="A274" s="76"/>
      <c r="B274" s="73"/>
      <c r="C274" s="75"/>
      <c r="D274" s="72"/>
      <c r="E274" s="78"/>
      <c r="S274" s="151">
        <v>48806</v>
      </c>
      <c r="T274" s="146">
        <v>57.96</v>
      </c>
      <c r="U274" s="146">
        <v>58.067</v>
      </c>
      <c r="V274" s="148">
        <v>0.91700000000000004</v>
      </c>
      <c r="W274" s="147">
        <v>2.91</v>
      </c>
    </row>
    <row r="275" spans="1:23" ht="13.5" thickBot="1" x14ac:dyDescent="0.25">
      <c r="A275" s="76"/>
      <c r="B275" s="73"/>
      <c r="C275" s="75"/>
      <c r="D275" s="72"/>
      <c r="E275" s="78"/>
      <c r="S275" s="151">
        <v>48898</v>
      </c>
      <c r="T275" s="146">
        <v>57.46</v>
      </c>
      <c r="U275" s="146">
        <v>57.567999999999998</v>
      </c>
      <c r="V275" s="148">
        <v>0.92</v>
      </c>
      <c r="W275" s="147">
        <v>2.91</v>
      </c>
    </row>
    <row r="276" spans="1:23" ht="13.5" thickBot="1" x14ac:dyDescent="0.25">
      <c r="A276" s="76"/>
      <c r="B276" s="73"/>
      <c r="C276" s="75"/>
      <c r="D276" s="72"/>
      <c r="E276" s="78"/>
      <c r="S276" s="151">
        <v>48990</v>
      </c>
      <c r="T276" s="146">
        <v>56.963000000000001</v>
      </c>
      <c r="U276" s="146">
        <v>57.072000000000003</v>
      </c>
      <c r="V276" s="148">
        <v>0.92400000000000004</v>
      </c>
      <c r="W276" s="147">
        <v>2.92</v>
      </c>
    </row>
    <row r="277" spans="1:23" ht="13.5" thickBot="1" x14ac:dyDescent="0.25">
      <c r="A277" s="76"/>
      <c r="B277" s="73"/>
      <c r="C277" s="75"/>
      <c r="D277" s="72"/>
      <c r="E277" s="78"/>
      <c r="S277" s="151">
        <v>49079</v>
      </c>
      <c r="T277" s="146">
        <v>56.496000000000002</v>
      </c>
      <c r="U277" s="146">
        <v>56.604999999999997</v>
      </c>
      <c r="V277" s="148">
        <v>0.92800000000000005</v>
      </c>
      <c r="W277" s="147">
        <v>2.93</v>
      </c>
    </row>
    <row r="278" spans="1:23" ht="13.5" thickBot="1" x14ac:dyDescent="0.25">
      <c r="A278" s="76"/>
      <c r="B278" s="73"/>
      <c r="C278" s="75"/>
      <c r="D278" s="72"/>
      <c r="E278" s="78"/>
      <c r="S278" s="151">
        <v>49171</v>
      </c>
      <c r="T278" s="146">
        <v>56.030999999999999</v>
      </c>
      <c r="U278" s="146">
        <v>56.14</v>
      </c>
      <c r="V278" s="148">
        <v>0.93200000000000005</v>
      </c>
      <c r="W278" s="147">
        <v>2.93</v>
      </c>
    </row>
    <row r="279" spans="1:23" ht="13.5" thickBot="1" x14ac:dyDescent="0.25">
      <c r="A279" s="76"/>
      <c r="B279" s="73"/>
      <c r="C279" s="75"/>
      <c r="D279" s="72"/>
      <c r="E279" s="78"/>
      <c r="S279" s="151">
        <v>49263</v>
      </c>
      <c r="T279" s="146">
        <v>55.540999999999997</v>
      </c>
      <c r="U279" s="146">
        <v>55.651000000000003</v>
      </c>
      <c r="V279" s="148">
        <v>0.93600000000000005</v>
      </c>
      <c r="W279" s="147">
        <v>2.94</v>
      </c>
    </row>
    <row r="280" spans="1:23" ht="13.5" thickBot="1" x14ac:dyDescent="0.25">
      <c r="A280" s="76"/>
      <c r="B280" s="73"/>
      <c r="C280" s="75"/>
      <c r="D280" s="72"/>
      <c r="E280" s="78"/>
      <c r="S280" s="151">
        <v>49355</v>
      </c>
      <c r="T280" s="146">
        <v>55.052999999999997</v>
      </c>
      <c r="U280" s="146">
        <v>55.162999999999997</v>
      </c>
      <c r="V280" s="148">
        <v>0.93899999999999995</v>
      </c>
      <c r="W280" s="147">
        <v>2.95</v>
      </c>
    </row>
    <row r="281" spans="1:23" ht="13.5" thickBot="1" x14ac:dyDescent="0.25">
      <c r="A281" s="76"/>
      <c r="B281" s="73"/>
      <c r="C281" s="75"/>
      <c r="D281" s="72"/>
      <c r="E281" s="78"/>
      <c r="S281" s="151">
        <v>49444</v>
      </c>
      <c r="T281" s="146">
        <v>54.567</v>
      </c>
      <c r="U281" s="146">
        <v>54.677999999999997</v>
      </c>
      <c r="V281" s="148">
        <v>0.94099999999999995</v>
      </c>
      <c r="W281" s="147">
        <v>2.95</v>
      </c>
    </row>
    <row r="282" spans="1:23" ht="13.5" thickBot="1" x14ac:dyDescent="0.25">
      <c r="A282" s="76"/>
      <c r="B282" s="73"/>
      <c r="C282" s="75"/>
      <c r="D282" s="72"/>
      <c r="E282" s="78"/>
      <c r="S282" s="151">
        <v>49536</v>
      </c>
      <c r="T282" s="146">
        <v>54.112000000000002</v>
      </c>
      <c r="U282" s="146">
        <v>54.222999999999999</v>
      </c>
      <c r="V282" s="148">
        <v>0.94499999999999995</v>
      </c>
      <c r="W282" s="147">
        <v>2.96</v>
      </c>
    </row>
    <row r="283" spans="1:23" ht="13.5" thickBot="1" x14ac:dyDescent="0.25">
      <c r="A283" s="76"/>
      <c r="B283" s="73"/>
      <c r="C283" s="75"/>
      <c r="D283" s="72"/>
      <c r="E283" s="78"/>
      <c r="S283" s="151">
        <v>49628</v>
      </c>
      <c r="T283" s="146">
        <v>53.658000000000001</v>
      </c>
      <c r="U283" s="146">
        <v>53.77</v>
      </c>
      <c r="V283" s="148">
        <v>0.97499999999999998</v>
      </c>
      <c r="W283" s="147">
        <v>2.96</v>
      </c>
    </row>
    <row r="284" spans="1:23" ht="13.5" thickBot="1" x14ac:dyDescent="0.25">
      <c r="A284" s="76"/>
      <c r="B284" s="73"/>
      <c r="C284" s="75"/>
      <c r="D284" s="72"/>
      <c r="E284" s="78"/>
      <c r="S284" s="151">
        <v>49720</v>
      </c>
      <c r="T284" s="146">
        <v>54.595999999999997</v>
      </c>
      <c r="U284" s="146">
        <v>54.710999999999999</v>
      </c>
      <c r="V284" s="148">
        <v>1.004</v>
      </c>
      <c r="W284" s="147">
        <v>2.85</v>
      </c>
    </row>
    <row r="285" spans="1:23" ht="13.5" thickBot="1" x14ac:dyDescent="0.25">
      <c r="A285" s="76"/>
      <c r="B285" s="73"/>
      <c r="C285" s="75"/>
      <c r="D285" s="72"/>
      <c r="E285" s="78"/>
      <c r="S285" s="151">
        <v>49720</v>
      </c>
      <c r="T285" s="146">
        <v>53.207999999999998</v>
      </c>
      <c r="U285" s="146">
        <v>53.32</v>
      </c>
      <c r="V285" s="148">
        <v>0.97799999999999998</v>
      </c>
      <c r="W285" s="147">
        <v>2.97</v>
      </c>
    </row>
    <row r="286" spans="1:23" ht="13.5" thickBot="1" x14ac:dyDescent="0.25">
      <c r="A286" s="76"/>
      <c r="B286" s="73"/>
      <c r="C286" s="75"/>
      <c r="D286" s="72"/>
      <c r="E286" s="78"/>
      <c r="S286" s="151">
        <v>49810</v>
      </c>
      <c r="T286" s="146">
        <v>52.704000000000001</v>
      </c>
      <c r="U286" s="146">
        <v>52.816000000000003</v>
      </c>
      <c r="V286" s="148">
        <v>0.95299999999999996</v>
      </c>
      <c r="W286" s="147">
        <v>2.98</v>
      </c>
    </row>
    <row r="287" spans="1:23" ht="13.5" thickBot="1" x14ac:dyDescent="0.25">
      <c r="A287" s="76"/>
      <c r="B287" s="73"/>
      <c r="C287" s="75"/>
      <c r="D287" s="72"/>
      <c r="E287" s="78"/>
      <c r="S287" s="151">
        <v>49902</v>
      </c>
      <c r="T287" s="146">
        <v>52.258000000000003</v>
      </c>
      <c r="U287" s="146">
        <v>52.37</v>
      </c>
      <c r="V287" s="148">
        <v>0.95499999999999996</v>
      </c>
      <c r="W287" s="147">
        <v>2.98</v>
      </c>
    </row>
    <row r="288" spans="1:23" ht="13.5" thickBot="1" x14ac:dyDescent="0.25">
      <c r="A288" s="76"/>
      <c r="B288" s="73"/>
      <c r="C288" s="75"/>
      <c r="D288" s="72"/>
      <c r="E288" s="78"/>
      <c r="S288" s="151">
        <v>49994</v>
      </c>
      <c r="T288" s="146">
        <v>51.758000000000003</v>
      </c>
      <c r="U288" s="146">
        <v>51.871000000000002</v>
      </c>
      <c r="V288" s="148">
        <v>0.95699999999999996</v>
      </c>
      <c r="W288" s="147">
        <v>2.99</v>
      </c>
    </row>
    <row r="289" spans="1:23" ht="13.5" thickBot="1" x14ac:dyDescent="0.25">
      <c r="A289" s="76"/>
      <c r="B289" s="73"/>
      <c r="C289" s="75"/>
      <c r="D289" s="72"/>
      <c r="E289" s="78"/>
      <c r="S289" s="151">
        <v>50086</v>
      </c>
      <c r="T289" s="146">
        <v>52.517000000000003</v>
      </c>
      <c r="U289" s="146">
        <v>52.633000000000003</v>
      </c>
      <c r="V289" s="148">
        <v>0.98199999999999998</v>
      </c>
      <c r="W289" s="147">
        <v>2.89</v>
      </c>
    </row>
    <row r="290" spans="1:23" ht="13.5" thickBot="1" x14ac:dyDescent="0.25">
      <c r="A290" s="76"/>
      <c r="B290" s="73"/>
      <c r="C290" s="75"/>
      <c r="D290" s="72"/>
      <c r="E290" s="78"/>
      <c r="S290" s="151">
        <v>50086</v>
      </c>
      <c r="T290" s="146">
        <v>51.289000000000001</v>
      </c>
      <c r="U290" s="146">
        <v>51.402000000000001</v>
      </c>
      <c r="V290" s="148">
        <v>0.95899999999999996</v>
      </c>
      <c r="W290" s="147">
        <v>3</v>
      </c>
    </row>
    <row r="291" spans="1:23" ht="13.5" thickBot="1" x14ac:dyDescent="0.25">
      <c r="A291" s="76"/>
      <c r="B291" s="73"/>
      <c r="C291" s="75"/>
      <c r="D291" s="72"/>
      <c r="E291" s="78"/>
      <c r="S291" s="151">
        <v>50175</v>
      </c>
      <c r="T291" s="146">
        <v>52.024000000000001</v>
      </c>
      <c r="U291" s="146">
        <v>52.14</v>
      </c>
      <c r="V291" s="148">
        <v>0.98399999999999999</v>
      </c>
      <c r="W291" s="147">
        <v>2.9</v>
      </c>
    </row>
    <row r="292" spans="1:23" ht="13.5" thickBot="1" x14ac:dyDescent="0.25">
      <c r="A292" s="76"/>
      <c r="B292" s="73"/>
      <c r="C292" s="75"/>
      <c r="D292" s="72"/>
      <c r="E292" s="78"/>
      <c r="S292" s="151">
        <v>50175</v>
      </c>
      <c r="T292" s="146">
        <v>50.878999999999998</v>
      </c>
      <c r="U292" s="146">
        <v>50.991999999999997</v>
      </c>
      <c r="V292" s="148">
        <v>0.96199999999999997</v>
      </c>
      <c r="W292" s="147">
        <v>3.01</v>
      </c>
    </row>
    <row r="293" spans="1:23" ht="13.5" thickBot="1" x14ac:dyDescent="0.25">
      <c r="A293" s="76"/>
      <c r="B293" s="73"/>
      <c r="C293" s="75"/>
      <c r="D293" s="72"/>
      <c r="E293" s="78"/>
      <c r="S293" s="151">
        <v>50267</v>
      </c>
      <c r="T293" s="146">
        <v>50.414999999999999</v>
      </c>
      <c r="U293" s="146">
        <v>50.527999999999999</v>
      </c>
      <c r="V293" s="148">
        <v>0.96399999999999997</v>
      </c>
      <c r="W293" s="147">
        <v>3.01</v>
      </c>
    </row>
    <row r="294" spans="1:23" ht="13.5" thickBot="1" x14ac:dyDescent="0.25">
      <c r="A294" s="76"/>
      <c r="B294" s="73"/>
      <c r="C294" s="75"/>
      <c r="D294" s="72"/>
      <c r="E294" s="78"/>
      <c r="S294" s="151">
        <v>50359</v>
      </c>
      <c r="T294" s="146">
        <v>49.981000000000002</v>
      </c>
      <c r="U294" s="146">
        <v>50.094999999999999</v>
      </c>
      <c r="V294" s="148">
        <v>0.96499999999999997</v>
      </c>
      <c r="W294" s="147">
        <v>3.02</v>
      </c>
    </row>
    <row r="295" spans="1:23" ht="13.5" thickBot="1" x14ac:dyDescent="0.25">
      <c r="A295" s="76"/>
      <c r="B295" s="73"/>
      <c r="C295" s="75"/>
      <c r="D295" s="72"/>
      <c r="E295" s="78"/>
      <c r="S295" s="151">
        <v>50451</v>
      </c>
      <c r="T295" s="146">
        <v>50.21</v>
      </c>
      <c r="U295" s="146">
        <v>50.325000000000003</v>
      </c>
      <c r="V295" s="148">
        <v>0.95199999999999996</v>
      </c>
      <c r="W295" s="147">
        <v>2.96</v>
      </c>
    </row>
    <row r="296" spans="1:23" ht="13.5" thickBot="1" x14ac:dyDescent="0.25">
      <c r="A296" s="76"/>
      <c r="B296" s="73"/>
      <c r="C296" s="75"/>
      <c r="D296" s="72"/>
      <c r="E296" s="78"/>
      <c r="S296" s="151">
        <v>50451</v>
      </c>
      <c r="T296" s="146">
        <v>49.493000000000002</v>
      </c>
      <c r="U296" s="146">
        <v>49.606999999999999</v>
      </c>
      <c r="V296" s="148">
        <v>0.96599999999999997</v>
      </c>
      <c r="W296" s="147">
        <v>3.03</v>
      </c>
    </row>
    <row r="297" spans="1:23" ht="13.5" thickBot="1" x14ac:dyDescent="0.25">
      <c r="A297" s="76"/>
      <c r="B297" s="73"/>
      <c r="C297" s="75"/>
      <c r="D297" s="72"/>
      <c r="E297" s="78"/>
      <c r="S297" s="151">
        <v>50540</v>
      </c>
      <c r="T297" s="146">
        <v>49.84</v>
      </c>
      <c r="U297" s="146">
        <v>49.956000000000003</v>
      </c>
      <c r="V297" s="148">
        <v>0.95499999999999996</v>
      </c>
      <c r="W297" s="147">
        <v>2.96</v>
      </c>
    </row>
    <row r="298" spans="1:23" ht="13.5" thickBot="1" x14ac:dyDescent="0.25">
      <c r="A298" s="76"/>
      <c r="B298" s="73"/>
      <c r="C298" s="75"/>
      <c r="D298" s="72"/>
      <c r="E298" s="78"/>
      <c r="S298" s="151">
        <v>50540</v>
      </c>
      <c r="T298" s="146">
        <v>49.036000000000001</v>
      </c>
      <c r="U298" s="146">
        <v>49.15</v>
      </c>
      <c r="V298" s="148">
        <v>0.93899999999999995</v>
      </c>
      <c r="W298" s="147">
        <v>3.03</v>
      </c>
    </row>
    <row r="299" spans="1:23" ht="13.5" thickBot="1" x14ac:dyDescent="0.25">
      <c r="A299" s="76"/>
      <c r="B299" s="73"/>
      <c r="C299" s="75"/>
      <c r="D299" s="72"/>
      <c r="E299" s="78"/>
      <c r="S299" s="151">
        <v>50632</v>
      </c>
      <c r="T299" s="146">
        <v>48.639000000000003</v>
      </c>
      <c r="U299" s="146">
        <v>48.753</v>
      </c>
      <c r="V299" s="148">
        <v>0.94199999999999995</v>
      </c>
      <c r="W299" s="147">
        <v>3.04</v>
      </c>
    </row>
    <row r="300" spans="1:23" ht="13.5" thickBot="1" x14ac:dyDescent="0.25">
      <c r="A300" s="76"/>
      <c r="B300" s="73"/>
      <c r="C300" s="75"/>
      <c r="D300" s="72"/>
      <c r="E300" s="78"/>
      <c r="S300" s="151">
        <v>50724</v>
      </c>
      <c r="T300" s="146">
        <v>48.215000000000003</v>
      </c>
      <c r="U300" s="146">
        <v>48.33</v>
      </c>
      <c r="V300" s="148">
        <v>0.91500000000000004</v>
      </c>
      <c r="W300" s="147">
        <v>3.04</v>
      </c>
    </row>
    <row r="301" spans="1:23" ht="13.5" thickBot="1" x14ac:dyDescent="0.25">
      <c r="A301" s="76"/>
      <c r="B301" s="73"/>
      <c r="C301" s="75"/>
      <c r="D301" s="72"/>
      <c r="E301" s="78"/>
      <c r="S301" s="151">
        <v>50816</v>
      </c>
      <c r="T301" s="146">
        <v>48.427999999999997</v>
      </c>
      <c r="U301" s="146">
        <v>48.545000000000002</v>
      </c>
      <c r="V301" s="148">
        <v>0.92800000000000005</v>
      </c>
      <c r="W301" s="147">
        <v>2.99</v>
      </c>
    </row>
    <row r="302" spans="1:23" ht="13.5" thickBot="1" x14ac:dyDescent="0.25">
      <c r="A302" s="76"/>
      <c r="B302" s="73"/>
      <c r="C302" s="75"/>
      <c r="D302" s="72"/>
      <c r="E302" s="78"/>
      <c r="S302" s="151">
        <v>50816</v>
      </c>
      <c r="T302" s="146">
        <v>47.793999999999997</v>
      </c>
      <c r="U302" s="146">
        <v>47.908999999999999</v>
      </c>
      <c r="V302" s="148">
        <v>0.91600000000000004</v>
      </c>
      <c r="W302" s="147">
        <v>3.05</v>
      </c>
    </row>
    <row r="303" spans="1:23" ht="13.5" thickBot="1" x14ac:dyDescent="0.25">
      <c r="A303" s="76"/>
      <c r="B303" s="73"/>
      <c r="C303" s="75"/>
      <c r="D303" s="72"/>
      <c r="E303" s="78"/>
      <c r="S303" s="151">
        <v>50905</v>
      </c>
      <c r="T303" s="146">
        <v>48.127000000000002</v>
      </c>
      <c r="U303" s="146">
        <v>48.244</v>
      </c>
      <c r="V303" s="148">
        <v>0.93200000000000005</v>
      </c>
      <c r="W303" s="147">
        <v>2.99</v>
      </c>
    </row>
    <row r="304" spans="1:23" ht="13.5" thickBot="1" x14ac:dyDescent="0.25">
      <c r="A304" s="76"/>
      <c r="B304" s="73"/>
      <c r="C304" s="75"/>
      <c r="D304" s="72"/>
      <c r="E304" s="78"/>
      <c r="S304" s="151">
        <v>50905</v>
      </c>
      <c r="T304" s="146">
        <v>47.375999999999998</v>
      </c>
      <c r="U304" s="146">
        <v>47.49</v>
      </c>
      <c r="V304" s="148">
        <v>0.91800000000000004</v>
      </c>
      <c r="W304" s="147">
        <v>3.05</v>
      </c>
    </row>
    <row r="305" spans="1:23" ht="13.5" thickBot="1" x14ac:dyDescent="0.25">
      <c r="A305" s="76"/>
      <c r="B305" s="73"/>
      <c r="C305" s="75"/>
      <c r="D305" s="72"/>
      <c r="E305" s="78"/>
      <c r="S305" s="151">
        <v>50997</v>
      </c>
      <c r="T305" s="146">
        <v>47.741</v>
      </c>
      <c r="U305" s="146">
        <v>47.857999999999997</v>
      </c>
      <c r="V305" s="148">
        <v>0.93300000000000005</v>
      </c>
      <c r="W305" s="147">
        <v>2.99</v>
      </c>
    </row>
    <row r="306" spans="1:23" ht="13.5" thickBot="1" x14ac:dyDescent="0.25">
      <c r="A306" s="76"/>
      <c r="B306" s="73"/>
      <c r="C306" s="75"/>
      <c r="D306" s="72"/>
      <c r="E306" s="78"/>
      <c r="S306" s="151">
        <v>50997</v>
      </c>
      <c r="T306" s="146">
        <v>46.96</v>
      </c>
      <c r="U306" s="146">
        <v>47.075000000000003</v>
      </c>
      <c r="V306" s="148">
        <v>0.91900000000000004</v>
      </c>
      <c r="W306" s="147">
        <v>3.06</v>
      </c>
    </row>
    <row r="307" spans="1:23" ht="13.5" thickBot="1" x14ac:dyDescent="0.25">
      <c r="A307" s="76"/>
      <c r="B307" s="73"/>
      <c r="C307" s="75"/>
      <c r="D307" s="72"/>
      <c r="E307" s="78"/>
      <c r="S307" s="151">
        <v>51089</v>
      </c>
      <c r="T307" s="146">
        <v>47.357999999999997</v>
      </c>
      <c r="U307" s="146">
        <v>47.475000000000001</v>
      </c>
      <c r="V307" s="148">
        <v>0.93500000000000005</v>
      </c>
      <c r="W307" s="147">
        <v>2.99</v>
      </c>
    </row>
    <row r="308" spans="1:23" ht="13.5" thickBot="1" x14ac:dyDescent="0.25">
      <c r="A308" s="76"/>
      <c r="B308" s="73"/>
      <c r="C308" s="75"/>
      <c r="D308" s="72"/>
      <c r="E308" s="78"/>
      <c r="S308" s="151">
        <v>51089</v>
      </c>
      <c r="T308" s="146">
        <v>46.517000000000003</v>
      </c>
      <c r="U308" s="146">
        <v>46.631999999999998</v>
      </c>
      <c r="V308" s="148">
        <v>0.91800000000000004</v>
      </c>
      <c r="W308" s="147">
        <v>3.07</v>
      </c>
    </row>
    <row r="309" spans="1:23" ht="13.5" thickBot="1" x14ac:dyDescent="0.25">
      <c r="A309" s="76"/>
      <c r="B309" s="73"/>
      <c r="C309" s="75"/>
      <c r="D309" s="72"/>
      <c r="E309" s="78"/>
      <c r="S309" s="151">
        <v>51181</v>
      </c>
      <c r="T309" s="146">
        <v>47.036000000000001</v>
      </c>
      <c r="U309" s="146">
        <v>47.152999999999999</v>
      </c>
      <c r="V309" s="148">
        <v>0.93799999999999994</v>
      </c>
      <c r="W309" s="147">
        <v>2.99</v>
      </c>
    </row>
    <row r="310" spans="1:23" ht="13.5" thickBot="1" x14ac:dyDescent="0.25">
      <c r="A310" s="76"/>
      <c r="B310" s="73"/>
      <c r="C310" s="75"/>
      <c r="D310" s="72"/>
      <c r="E310" s="78"/>
      <c r="S310" s="151">
        <v>51181</v>
      </c>
      <c r="T310" s="146">
        <v>46.078000000000003</v>
      </c>
      <c r="U310" s="146">
        <v>46.192999999999998</v>
      </c>
      <c r="V310" s="148">
        <v>0.91900000000000004</v>
      </c>
      <c r="W310" s="147">
        <v>3.07</v>
      </c>
    </row>
    <row r="311" spans="1:23" ht="13.5" thickBot="1" x14ac:dyDescent="0.25">
      <c r="A311" s="76"/>
      <c r="B311" s="73"/>
      <c r="C311" s="75"/>
      <c r="D311" s="72"/>
      <c r="E311" s="78"/>
      <c r="S311" s="151">
        <v>51271</v>
      </c>
      <c r="T311" s="146">
        <v>46.628</v>
      </c>
      <c r="U311" s="146">
        <v>46.746000000000002</v>
      </c>
      <c r="V311" s="148">
        <v>0.93899999999999995</v>
      </c>
      <c r="W311" s="147">
        <v>2.99</v>
      </c>
    </row>
    <row r="312" spans="1:23" ht="13.5" thickBot="1" x14ac:dyDescent="0.25">
      <c r="A312" s="76"/>
      <c r="B312" s="73"/>
      <c r="C312" s="75"/>
      <c r="D312" s="72"/>
      <c r="E312" s="78"/>
      <c r="S312" s="151">
        <v>51271</v>
      </c>
      <c r="T312" s="146">
        <v>45.64</v>
      </c>
      <c r="U312" s="146">
        <v>45.755000000000003</v>
      </c>
      <c r="V312" s="148">
        <v>0.91900000000000004</v>
      </c>
      <c r="W312" s="147">
        <v>3.08</v>
      </c>
    </row>
    <row r="313" spans="1:23" ht="13.5" thickBot="1" x14ac:dyDescent="0.25">
      <c r="A313" s="76"/>
      <c r="B313" s="73"/>
      <c r="C313" s="75"/>
      <c r="D313" s="72"/>
      <c r="E313" s="78"/>
      <c r="S313" s="151">
        <v>51363</v>
      </c>
      <c r="T313" s="146">
        <v>46.134999999999998</v>
      </c>
      <c r="U313" s="146">
        <v>46.253</v>
      </c>
      <c r="V313" s="148">
        <v>0.93799999999999994</v>
      </c>
      <c r="W313" s="147">
        <v>3.01</v>
      </c>
    </row>
    <row r="314" spans="1:23" ht="13.5" thickBot="1" x14ac:dyDescent="0.25">
      <c r="A314" s="76"/>
      <c r="B314" s="73"/>
      <c r="C314" s="75"/>
      <c r="D314" s="72"/>
      <c r="E314" s="78"/>
      <c r="S314" s="151">
        <v>51363</v>
      </c>
      <c r="T314" s="146">
        <v>45.262999999999998</v>
      </c>
      <c r="U314" s="146">
        <v>45.378</v>
      </c>
      <c r="V314" s="148">
        <v>0.92</v>
      </c>
      <c r="W314" s="147">
        <v>3.08</v>
      </c>
    </row>
    <row r="315" spans="1:23" ht="13.5" thickBot="1" x14ac:dyDescent="0.25">
      <c r="A315" s="76"/>
      <c r="B315" s="73"/>
      <c r="C315" s="75"/>
      <c r="D315" s="72"/>
      <c r="E315" s="78"/>
      <c r="S315" s="151">
        <v>51455</v>
      </c>
      <c r="T315" s="146">
        <v>45.82</v>
      </c>
      <c r="U315" s="146">
        <v>45.938000000000002</v>
      </c>
      <c r="V315" s="148">
        <v>0.94</v>
      </c>
      <c r="W315" s="147">
        <v>3.01</v>
      </c>
    </row>
    <row r="316" spans="1:23" ht="13.5" thickBot="1" x14ac:dyDescent="0.25">
      <c r="A316" s="76"/>
      <c r="B316" s="73"/>
      <c r="C316" s="75"/>
      <c r="D316" s="72"/>
      <c r="E316" s="78"/>
      <c r="S316" s="151">
        <v>51455</v>
      </c>
      <c r="T316" s="146">
        <v>44.917000000000002</v>
      </c>
      <c r="U316" s="146">
        <v>45.033000000000001</v>
      </c>
      <c r="V316" s="148">
        <v>0.92200000000000004</v>
      </c>
      <c r="W316" s="147">
        <v>3.08</v>
      </c>
    </row>
    <row r="317" spans="1:23" ht="13.5" thickBot="1" x14ac:dyDescent="0.25">
      <c r="A317" s="76"/>
      <c r="B317" s="73"/>
      <c r="C317" s="75"/>
      <c r="D317" s="72"/>
      <c r="E317" s="78"/>
      <c r="S317" s="151">
        <v>51547</v>
      </c>
      <c r="T317" s="146">
        <v>45.655999999999999</v>
      </c>
      <c r="U317" s="146">
        <v>45.774999999999999</v>
      </c>
      <c r="V317" s="148">
        <v>0.91700000000000004</v>
      </c>
      <c r="W317" s="147">
        <v>2.99</v>
      </c>
    </row>
    <row r="318" spans="1:23" ht="13.5" thickBot="1" x14ac:dyDescent="0.25">
      <c r="A318" s="76"/>
      <c r="B318" s="73"/>
      <c r="C318" s="75"/>
      <c r="D318" s="72"/>
      <c r="E318" s="78"/>
      <c r="S318" s="151">
        <v>51547</v>
      </c>
      <c r="T318" s="146">
        <v>44.545000000000002</v>
      </c>
      <c r="U318" s="146">
        <v>44.661000000000001</v>
      </c>
      <c r="V318" s="148">
        <v>0.89400000000000002</v>
      </c>
      <c r="W318" s="147">
        <v>3.08</v>
      </c>
    </row>
    <row r="319" spans="1:23" ht="13.5" thickBot="1" x14ac:dyDescent="0.25">
      <c r="A319" s="76"/>
      <c r="B319" s="73"/>
      <c r="C319" s="75"/>
      <c r="D319" s="72"/>
      <c r="E319" s="78"/>
      <c r="S319" s="151">
        <v>51636</v>
      </c>
      <c r="T319" s="146">
        <v>45.14</v>
      </c>
      <c r="U319" s="146">
        <v>45.258000000000003</v>
      </c>
      <c r="V319" s="148">
        <v>0.91500000000000004</v>
      </c>
      <c r="W319" s="147">
        <v>3</v>
      </c>
    </row>
    <row r="320" spans="1:23" ht="13.5" thickBot="1" x14ac:dyDescent="0.25">
      <c r="A320" s="76"/>
      <c r="B320" s="73"/>
      <c r="C320" s="75"/>
      <c r="D320" s="72"/>
      <c r="E320" s="78"/>
      <c r="S320" s="151">
        <v>51636</v>
      </c>
      <c r="T320" s="146">
        <v>44.118000000000002</v>
      </c>
      <c r="U320" s="146">
        <v>44.232999999999997</v>
      </c>
      <c r="V320" s="148">
        <v>0.89500000000000002</v>
      </c>
      <c r="W320" s="147">
        <v>3.09</v>
      </c>
    </row>
    <row r="321" spans="1:23" ht="13.5" thickBot="1" x14ac:dyDescent="0.25">
      <c r="A321" s="76"/>
      <c r="B321" s="73"/>
      <c r="C321" s="75"/>
      <c r="D321" s="72"/>
      <c r="E321" s="78"/>
      <c r="S321" s="151">
        <v>51728</v>
      </c>
      <c r="T321" s="146">
        <v>44.625999999999998</v>
      </c>
      <c r="U321" s="146">
        <v>44.744</v>
      </c>
      <c r="V321" s="148">
        <v>0.91300000000000003</v>
      </c>
      <c r="W321" s="147">
        <v>3.02</v>
      </c>
    </row>
    <row r="322" spans="1:23" ht="13.5" thickBot="1" x14ac:dyDescent="0.25">
      <c r="A322" s="76"/>
      <c r="B322" s="73"/>
      <c r="C322" s="75"/>
      <c r="D322" s="72"/>
      <c r="E322" s="78"/>
      <c r="S322" s="151">
        <v>51728</v>
      </c>
      <c r="T322" s="146">
        <v>43.779000000000003</v>
      </c>
      <c r="U322" s="146">
        <v>43.895000000000003</v>
      </c>
      <c r="V322" s="148">
        <v>0.89500000000000002</v>
      </c>
      <c r="W322" s="147">
        <v>3.09</v>
      </c>
    </row>
    <row r="323" spans="1:23" ht="13.5" thickBot="1" x14ac:dyDescent="0.25">
      <c r="A323" s="76"/>
      <c r="B323" s="73"/>
      <c r="C323" s="75"/>
      <c r="D323" s="72"/>
      <c r="E323" s="78"/>
      <c r="S323" s="151">
        <v>51820</v>
      </c>
      <c r="T323" s="146">
        <v>44.027000000000001</v>
      </c>
      <c r="U323" s="146">
        <v>44.145000000000003</v>
      </c>
      <c r="V323" s="148">
        <v>0.90900000000000003</v>
      </c>
      <c r="W323" s="147">
        <v>3.04</v>
      </c>
    </row>
    <row r="324" spans="1:23" ht="13.5" thickBot="1" x14ac:dyDescent="0.25">
      <c r="A324" s="76"/>
      <c r="B324" s="73"/>
      <c r="C324" s="75"/>
      <c r="D324" s="72"/>
      <c r="E324" s="78"/>
      <c r="S324" s="151">
        <v>51820</v>
      </c>
      <c r="T324" s="146">
        <v>43.386000000000003</v>
      </c>
      <c r="U324" s="146">
        <v>43.502000000000002</v>
      </c>
      <c r="V324" s="148">
        <v>0.89600000000000002</v>
      </c>
      <c r="W324" s="147">
        <v>3.1</v>
      </c>
    </row>
    <row r="325" spans="1:23" ht="13.5" thickBot="1" x14ac:dyDescent="0.25">
      <c r="A325" s="76"/>
      <c r="B325" s="73"/>
      <c r="C325" s="75"/>
      <c r="D325" s="72"/>
      <c r="E325" s="78"/>
      <c r="S325" s="151">
        <v>51912</v>
      </c>
      <c r="T325" s="146">
        <v>43.518999999999998</v>
      </c>
      <c r="U325" s="146">
        <v>43.636000000000003</v>
      </c>
      <c r="V325" s="148">
        <v>0.90700000000000003</v>
      </c>
      <c r="W325" s="147">
        <v>3.06</v>
      </c>
    </row>
    <row r="326" spans="1:23" ht="13.5" thickBot="1" x14ac:dyDescent="0.25">
      <c r="A326" s="76"/>
      <c r="B326" s="73"/>
      <c r="C326" s="75"/>
      <c r="D326" s="72"/>
      <c r="E326" s="78"/>
      <c r="S326" s="151">
        <v>51912</v>
      </c>
      <c r="T326" s="146">
        <v>43.052999999999997</v>
      </c>
      <c r="U326" s="146">
        <v>43.168999999999997</v>
      </c>
      <c r="V326" s="148">
        <v>0.89700000000000002</v>
      </c>
      <c r="W326" s="147">
        <v>3.1</v>
      </c>
    </row>
    <row r="327" spans="1:23" ht="13.5" thickBot="1" x14ac:dyDescent="0.25">
      <c r="A327" s="76"/>
      <c r="B327" s="73"/>
      <c r="C327" s="75"/>
      <c r="D327" s="72"/>
      <c r="E327" s="78"/>
      <c r="S327" s="151">
        <v>52001</v>
      </c>
      <c r="T327" s="146">
        <v>43.13</v>
      </c>
      <c r="U327" s="146">
        <v>43.247999999999998</v>
      </c>
      <c r="V327" s="148">
        <v>0.90600000000000003</v>
      </c>
      <c r="W327" s="147">
        <v>3.06</v>
      </c>
    </row>
    <row r="328" spans="1:23" ht="13.5" thickBot="1" x14ac:dyDescent="0.25">
      <c r="A328" s="76"/>
      <c r="B328" s="73"/>
      <c r="C328" s="75"/>
      <c r="D328" s="72"/>
      <c r="E328" s="78"/>
      <c r="S328" s="151">
        <v>52001</v>
      </c>
      <c r="T328" s="146">
        <v>42.722000000000001</v>
      </c>
      <c r="U328" s="146">
        <v>42.838000000000001</v>
      </c>
      <c r="V328" s="148">
        <v>0.89800000000000002</v>
      </c>
      <c r="W328" s="147">
        <v>3.1</v>
      </c>
    </row>
    <row r="329" spans="1:23" ht="13.5" thickBot="1" x14ac:dyDescent="0.25">
      <c r="A329" s="76"/>
      <c r="B329" s="73"/>
      <c r="C329" s="75"/>
      <c r="D329" s="72"/>
      <c r="E329" s="78"/>
      <c r="S329" s="151">
        <v>52093</v>
      </c>
      <c r="T329" s="146">
        <v>42.627000000000002</v>
      </c>
      <c r="U329" s="146">
        <v>42.744</v>
      </c>
      <c r="V329" s="148">
        <v>0.90400000000000003</v>
      </c>
      <c r="W329" s="147">
        <v>3.08</v>
      </c>
    </row>
    <row r="330" spans="1:23" ht="13.5" thickBot="1" x14ac:dyDescent="0.25">
      <c r="A330" s="76"/>
      <c r="B330" s="73"/>
      <c r="C330" s="75"/>
      <c r="D330" s="72"/>
      <c r="E330" s="78"/>
      <c r="S330" s="151">
        <v>52093</v>
      </c>
      <c r="T330" s="146">
        <v>42.365000000000002</v>
      </c>
      <c r="U330" s="146">
        <v>42.481000000000002</v>
      </c>
      <c r="V330" s="148">
        <v>0.89800000000000002</v>
      </c>
      <c r="W330" s="147">
        <v>3.1</v>
      </c>
    </row>
    <row r="331" spans="1:23" ht="13.5" thickBot="1" x14ac:dyDescent="0.25">
      <c r="A331" s="76"/>
      <c r="B331" s="73"/>
      <c r="C331" s="75"/>
      <c r="D331" s="72"/>
      <c r="E331" s="78"/>
      <c r="S331" s="151">
        <v>52185</v>
      </c>
      <c r="T331" s="146">
        <v>42.213999999999999</v>
      </c>
      <c r="U331" s="146">
        <v>42.331000000000003</v>
      </c>
      <c r="V331" s="148">
        <v>0.90300000000000002</v>
      </c>
      <c r="W331" s="147">
        <v>3.08</v>
      </c>
    </row>
    <row r="332" spans="1:23" ht="13.5" thickBot="1" x14ac:dyDescent="0.25">
      <c r="A332" s="76"/>
      <c r="B332" s="73"/>
      <c r="C332" s="75"/>
      <c r="D332" s="72"/>
      <c r="E332" s="78"/>
      <c r="S332" s="151">
        <v>52185</v>
      </c>
      <c r="T332" s="146">
        <v>42.04</v>
      </c>
      <c r="U332" s="146">
        <v>42.155999999999999</v>
      </c>
      <c r="V332" s="148">
        <v>0.9</v>
      </c>
      <c r="W332" s="147">
        <v>3.1</v>
      </c>
    </row>
    <row r="333" spans="1:23" ht="13.5" thickBot="1" x14ac:dyDescent="0.25">
      <c r="A333" s="76"/>
      <c r="B333" s="73"/>
      <c r="C333" s="75"/>
      <c r="D333" s="72"/>
      <c r="E333" s="78"/>
      <c r="S333" s="151">
        <v>52277</v>
      </c>
      <c r="T333" s="146">
        <v>41.862000000000002</v>
      </c>
      <c r="U333" s="146">
        <v>41.978999999999999</v>
      </c>
      <c r="V333" s="148">
        <v>0.90300000000000002</v>
      </c>
      <c r="W333" s="147">
        <v>3.09</v>
      </c>
    </row>
    <row r="334" spans="1:23" ht="13.5" thickBot="1" x14ac:dyDescent="0.25">
      <c r="A334" s="76"/>
      <c r="B334" s="73"/>
      <c r="C334" s="75"/>
      <c r="D334" s="72"/>
      <c r="E334" s="78"/>
      <c r="S334" s="151">
        <v>52277</v>
      </c>
      <c r="T334" s="146">
        <v>41.628999999999998</v>
      </c>
      <c r="U334" s="146">
        <v>41.746000000000002</v>
      </c>
      <c r="V334" s="148">
        <v>0.89800000000000002</v>
      </c>
      <c r="W334" s="147">
        <v>3.11</v>
      </c>
    </row>
    <row r="335" spans="1:23" ht="13.5" thickBot="1" x14ac:dyDescent="0.25">
      <c r="A335" s="76"/>
      <c r="B335" s="73"/>
      <c r="C335" s="75"/>
      <c r="D335" s="72"/>
      <c r="E335" s="78"/>
      <c r="S335" s="151">
        <v>52366</v>
      </c>
      <c r="T335" s="146">
        <v>41.482999999999997</v>
      </c>
      <c r="U335" s="146">
        <v>41.6</v>
      </c>
      <c r="V335" s="148">
        <v>0.90300000000000002</v>
      </c>
      <c r="W335" s="147">
        <v>3.09</v>
      </c>
    </row>
    <row r="336" spans="1:23" ht="13.5" thickBot="1" x14ac:dyDescent="0.25">
      <c r="A336" s="76"/>
      <c r="B336" s="73"/>
      <c r="C336" s="75"/>
      <c r="D336" s="72"/>
      <c r="E336" s="78"/>
      <c r="S336" s="151">
        <v>52366</v>
      </c>
      <c r="T336" s="146">
        <v>41.28</v>
      </c>
      <c r="U336" s="146">
        <v>41.396000000000001</v>
      </c>
      <c r="V336" s="148">
        <v>0.89900000000000002</v>
      </c>
      <c r="W336" s="147">
        <v>3.11</v>
      </c>
    </row>
    <row r="337" spans="1:23" ht="13.5" thickBot="1" x14ac:dyDescent="0.25">
      <c r="A337" s="76"/>
      <c r="B337" s="73"/>
      <c r="C337" s="75"/>
      <c r="D337" s="72"/>
      <c r="E337" s="78"/>
      <c r="S337" s="151">
        <v>52366</v>
      </c>
      <c r="T337" s="146">
        <v>31.414999999999999</v>
      </c>
      <c r="U337" s="146">
        <v>31.504999999999999</v>
      </c>
      <c r="V337" s="149">
        <v>-0.17499999999999999</v>
      </c>
      <c r="W337" s="147">
        <v>3.99</v>
      </c>
    </row>
    <row r="338" spans="1:23" ht="13.5" thickBot="1" x14ac:dyDescent="0.25">
      <c r="A338" s="76"/>
      <c r="B338" s="73"/>
      <c r="C338" s="75"/>
      <c r="D338" s="72"/>
      <c r="E338" s="78"/>
      <c r="S338" s="151">
        <v>52458</v>
      </c>
      <c r="T338" s="146">
        <v>41.136000000000003</v>
      </c>
      <c r="U338" s="146">
        <v>41.253</v>
      </c>
      <c r="V338" s="148">
        <v>0.90300000000000002</v>
      </c>
      <c r="W338" s="147">
        <v>3.09</v>
      </c>
    </row>
    <row r="339" spans="1:23" ht="13.5" thickBot="1" x14ac:dyDescent="0.25">
      <c r="A339" s="76"/>
      <c r="B339" s="73"/>
      <c r="C339" s="75"/>
      <c r="D339" s="72"/>
      <c r="E339" s="78"/>
      <c r="S339" s="151">
        <v>52458</v>
      </c>
      <c r="T339" s="146">
        <v>40.902999999999999</v>
      </c>
      <c r="U339" s="146">
        <v>41.02</v>
      </c>
      <c r="V339" s="148">
        <v>0.89800000000000002</v>
      </c>
      <c r="W339" s="147">
        <v>3.11</v>
      </c>
    </row>
    <row r="340" spans="1:23" ht="13.5" thickBot="1" x14ac:dyDescent="0.25">
      <c r="A340" s="76"/>
      <c r="B340" s="73"/>
      <c r="C340" s="75"/>
      <c r="D340" s="72"/>
      <c r="E340" s="78"/>
      <c r="S340" s="151">
        <v>52458</v>
      </c>
      <c r="T340" s="146">
        <v>31.077999999999999</v>
      </c>
      <c r="U340" s="146">
        <v>31.167999999999999</v>
      </c>
      <c r="V340" s="149">
        <v>-0.17499999999999999</v>
      </c>
      <c r="W340" s="147">
        <v>3.99</v>
      </c>
    </row>
    <row r="341" spans="1:23" ht="13.5" thickBot="1" x14ac:dyDescent="0.25">
      <c r="A341" s="76"/>
      <c r="B341" s="73"/>
      <c r="C341" s="75"/>
      <c r="D341" s="72"/>
      <c r="E341" s="78"/>
      <c r="S341" s="151">
        <v>52550</v>
      </c>
      <c r="T341" s="146">
        <v>40.790999999999997</v>
      </c>
      <c r="U341" s="146">
        <v>40.908000000000001</v>
      </c>
      <c r="V341" s="148">
        <v>0.90300000000000002</v>
      </c>
      <c r="W341" s="147">
        <v>3.1</v>
      </c>
    </row>
    <row r="342" spans="1:23" ht="13.5" thickBot="1" x14ac:dyDescent="0.25">
      <c r="A342" s="76"/>
      <c r="B342" s="73"/>
      <c r="C342" s="75"/>
      <c r="D342" s="72"/>
      <c r="E342" s="78"/>
      <c r="S342" s="151">
        <v>52550</v>
      </c>
      <c r="T342" s="146">
        <v>40.588000000000001</v>
      </c>
      <c r="U342" s="146">
        <v>40.704000000000001</v>
      </c>
      <c r="V342" s="148">
        <v>0.89900000000000002</v>
      </c>
      <c r="W342" s="147">
        <v>3.12</v>
      </c>
    </row>
    <row r="343" spans="1:23" ht="13.5" thickBot="1" x14ac:dyDescent="0.25">
      <c r="A343" s="76"/>
      <c r="B343" s="73"/>
      <c r="C343" s="75"/>
      <c r="D343" s="72"/>
      <c r="E343" s="78"/>
      <c r="S343" s="151">
        <v>52550</v>
      </c>
      <c r="T343" s="146">
        <v>30.777000000000001</v>
      </c>
      <c r="U343" s="146">
        <v>30.866</v>
      </c>
      <c r="V343" s="149">
        <v>-0.17399999999999999</v>
      </c>
      <c r="W343" s="147">
        <v>3.99</v>
      </c>
    </row>
    <row r="344" spans="1:23" ht="13.5" thickBot="1" x14ac:dyDescent="0.25">
      <c r="A344" s="76"/>
      <c r="B344" s="73"/>
      <c r="C344" s="75"/>
      <c r="D344" s="72"/>
      <c r="E344" s="78"/>
      <c r="S344" s="151">
        <v>52642</v>
      </c>
      <c r="T344" s="146">
        <v>40.42</v>
      </c>
      <c r="U344" s="146">
        <v>40.536999999999999</v>
      </c>
      <c r="V344" s="148">
        <v>0.874</v>
      </c>
      <c r="W344" s="147">
        <v>3.1</v>
      </c>
    </row>
    <row r="345" spans="1:23" ht="13.5" thickBot="1" x14ac:dyDescent="0.25">
      <c r="A345" s="76"/>
      <c r="B345" s="73"/>
      <c r="C345" s="75"/>
      <c r="D345" s="72"/>
      <c r="E345" s="78"/>
      <c r="S345" s="151">
        <v>52642</v>
      </c>
      <c r="T345" s="146">
        <v>40.244999999999997</v>
      </c>
      <c r="U345" s="146">
        <v>40.360999999999997</v>
      </c>
      <c r="V345" s="148">
        <v>0.89900000000000002</v>
      </c>
      <c r="W345" s="147">
        <v>3.12</v>
      </c>
    </row>
    <row r="346" spans="1:23" ht="13.5" thickBot="1" x14ac:dyDescent="0.25">
      <c r="A346" s="76"/>
      <c r="B346" s="73"/>
      <c r="C346" s="75"/>
      <c r="D346" s="72"/>
      <c r="E346" s="78"/>
      <c r="S346" s="151">
        <v>52642</v>
      </c>
      <c r="T346" s="146">
        <v>39.345999999999997</v>
      </c>
      <c r="U346" s="146">
        <v>39.46</v>
      </c>
      <c r="V346" s="148">
        <v>0.33800000000000002</v>
      </c>
      <c r="W346" s="147">
        <v>3.19</v>
      </c>
    </row>
    <row r="347" spans="1:23" ht="13.5" thickBot="1" x14ac:dyDescent="0.25">
      <c r="A347" s="76"/>
      <c r="B347" s="73"/>
      <c r="C347" s="75"/>
      <c r="D347" s="72"/>
      <c r="E347" s="78"/>
      <c r="S347" s="151">
        <v>52642</v>
      </c>
      <c r="T347" s="146">
        <v>36.585999999999999</v>
      </c>
      <c r="U347" s="146">
        <v>36.692</v>
      </c>
      <c r="V347" s="149">
        <v>-0.41399999999999998</v>
      </c>
      <c r="W347" s="147">
        <v>3.44</v>
      </c>
    </row>
    <row r="348" spans="1:23" ht="13.5" thickBot="1" x14ac:dyDescent="0.25">
      <c r="A348" s="76"/>
      <c r="B348" s="73"/>
      <c r="C348" s="75"/>
      <c r="D348" s="72"/>
      <c r="E348" s="78"/>
      <c r="S348" s="151">
        <v>52642</v>
      </c>
      <c r="T348" s="146">
        <v>36.558</v>
      </c>
      <c r="U348" s="146">
        <v>36.664000000000001</v>
      </c>
      <c r="V348" s="148">
        <v>0.27300000000000002</v>
      </c>
      <c r="W348" s="147">
        <v>3.43</v>
      </c>
    </row>
    <row r="349" spans="1:23" ht="13.5" thickBot="1" x14ac:dyDescent="0.25">
      <c r="A349" s="76"/>
      <c r="B349" s="73"/>
      <c r="C349" s="75"/>
      <c r="D349" s="72"/>
      <c r="E349" s="78"/>
      <c r="S349" s="151">
        <v>52642</v>
      </c>
      <c r="T349" s="146">
        <v>35.331000000000003</v>
      </c>
      <c r="U349" s="146">
        <v>35.433</v>
      </c>
      <c r="V349" s="148">
        <v>0.253</v>
      </c>
      <c r="W349" s="147">
        <v>3.54</v>
      </c>
    </row>
    <row r="350" spans="1:23" ht="13.5" thickBot="1" x14ac:dyDescent="0.25">
      <c r="A350" s="76"/>
      <c r="B350" s="73"/>
      <c r="C350" s="75"/>
      <c r="D350" s="72"/>
      <c r="E350" s="78"/>
      <c r="S350" s="151">
        <v>52642</v>
      </c>
      <c r="T350" s="146">
        <v>34.161000000000001</v>
      </c>
      <c r="U350" s="146">
        <v>34.261000000000003</v>
      </c>
      <c r="V350" s="149">
        <v>-0.04</v>
      </c>
      <c r="W350" s="147">
        <v>3.64</v>
      </c>
    </row>
    <row r="351" spans="1:23" ht="13.5" thickBot="1" x14ac:dyDescent="0.25">
      <c r="A351" s="76"/>
      <c r="B351" s="73"/>
      <c r="C351" s="75"/>
      <c r="D351" s="72"/>
      <c r="E351" s="78"/>
      <c r="S351" s="151">
        <v>52732</v>
      </c>
      <c r="T351" s="146">
        <v>40.137999999999998</v>
      </c>
      <c r="U351" s="146">
        <v>40.255000000000003</v>
      </c>
      <c r="V351" s="148">
        <v>0.90400000000000003</v>
      </c>
      <c r="W351" s="147">
        <v>3.1</v>
      </c>
    </row>
    <row r="352" spans="1:23" ht="13.5" thickBot="1" x14ac:dyDescent="0.25">
      <c r="A352" s="76"/>
      <c r="B352" s="73"/>
      <c r="C352" s="75"/>
      <c r="D352" s="72"/>
      <c r="E352" s="78"/>
      <c r="S352" s="151">
        <v>52732</v>
      </c>
      <c r="T352" s="146">
        <v>39.963000000000001</v>
      </c>
      <c r="U352" s="146">
        <v>40.08</v>
      </c>
      <c r="V352" s="148">
        <v>0.9</v>
      </c>
      <c r="W352" s="147">
        <v>3.12</v>
      </c>
    </row>
    <row r="353" spans="1:23" ht="13.5" thickBot="1" x14ac:dyDescent="0.25">
      <c r="A353" s="76"/>
      <c r="B353" s="73"/>
      <c r="C353" s="75"/>
      <c r="D353" s="72"/>
      <c r="E353" s="78"/>
      <c r="S353" s="151">
        <v>52732</v>
      </c>
      <c r="T353" s="146">
        <v>39.063000000000002</v>
      </c>
      <c r="U353" s="146">
        <v>39.177</v>
      </c>
      <c r="V353" s="148">
        <v>0.33800000000000002</v>
      </c>
      <c r="W353" s="147">
        <v>3.19</v>
      </c>
    </row>
    <row r="354" spans="1:23" ht="13.5" thickBot="1" x14ac:dyDescent="0.25">
      <c r="A354" s="76"/>
      <c r="B354" s="73"/>
      <c r="C354" s="75"/>
      <c r="D354" s="72"/>
      <c r="E354" s="78"/>
      <c r="S354" s="151">
        <v>52732</v>
      </c>
      <c r="T354" s="146">
        <v>36.561999999999998</v>
      </c>
      <c r="U354" s="146">
        <v>36.668999999999997</v>
      </c>
      <c r="V354" s="148">
        <v>0.45100000000000001</v>
      </c>
      <c r="W354" s="147">
        <v>3.41</v>
      </c>
    </row>
    <row r="355" spans="1:23" ht="13.5" thickBot="1" x14ac:dyDescent="0.25">
      <c r="A355" s="76"/>
      <c r="B355" s="73"/>
      <c r="C355" s="75"/>
      <c r="D355" s="72"/>
      <c r="E355" s="78"/>
      <c r="S355" s="151">
        <v>52732</v>
      </c>
      <c r="T355" s="146">
        <v>36.301000000000002</v>
      </c>
      <c r="U355" s="146">
        <v>36.406999999999996</v>
      </c>
      <c r="V355" s="149">
        <v>-0.41399999999999998</v>
      </c>
      <c r="W355" s="147">
        <v>3.43</v>
      </c>
    </row>
    <row r="356" spans="1:23" ht="13.5" thickBot="1" x14ac:dyDescent="0.25">
      <c r="A356" s="76"/>
      <c r="B356" s="73"/>
      <c r="C356" s="75"/>
      <c r="D356" s="72"/>
      <c r="E356" s="78"/>
      <c r="S356" s="151">
        <v>52732</v>
      </c>
      <c r="T356" s="146">
        <v>37.540999999999997</v>
      </c>
      <c r="U356" s="146">
        <v>37.651000000000003</v>
      </c>
      <c r="V356" s="149">
        <v>-0.21099999999999999</v>
      </c>
      <c r="W356" s="147">
        <v>3.31</v>
      </c>
    </row>
    <row r="357" spans="1:23" ht="13.5" thickBot="1" x14ac:dyDescent="0.25">
      <c r="A357" s="76"/>
      <c r="B357" s="73"/>
      <c r="C357" s="75"/>
      <c r="D357" s="72"/>
      <c r="E357" s="78"/>
      <c r="S357" s="151">
        <v>52732</v>
      </c>
      <c r="T357" s="146">
        <v>36.287999999999997</v>
      </c>
      <c r="U357" s="146">
        <v>36.393999999999998</v>
      </c>
      <c r="V357" s="148">
        <v>0.28699999999999998</v>
      </c>
      <c r="W357" s="147">
        <v>3.43</v>
      </c>
    </row>
    <row r="358" spans="1:23" ht="13.5" thickBot="1" x14ac:dyDescent="0.25">
      <c r="A358" s="76"/>
      <c r="B358" s="73"/>
      <c r="C358" s="75"/>
      <c r="D358" s="72"/>
      <c r="E358" s="78"/>
      <c r="S358" s="151">
        <v>52732</v>
      </c>
      <c r="T358" s="146">
        <v>35.048999999999999</v>
      </c>
      <c r="U358" s="146">
        <v>35.152000000000001</v>
      </c>
      <c r="V358" s="148">
        <v>0.253</v>
      </c>
      <c r="W358" s="147">
        <v>3.54</v>
      </c>
    </row>
    <row r="359" spans="1:23" ht="13.5" thickBot="1" x14ac:dyDescent="0.25">
      <c r="A359" s="76"/>
      <c r="B359" s="73"/>
      <c r="C359" s="75"/>
      <c r="D359" s="72"/>
      <c r="E359" s="78"/>
      <c r="S359" s="151">
        <v>52732</v>
      </c>
      <c r="T359" s="146">
        <v>34.847000000000001</v>
      </c>
      <c r="U359" s="146">
        <v>34.950000000000003</v>
      </c>
      <c r="V359" s="149">
        <v>-0.20100000000000001</v>
      </c>
      <c r="W359" s="147">
        <v>3.55</v>
      </c>
    </row>
    <row r="360" spans="1:23" ht="13.5" thickBot="1" x14ac:dyDescent="0.25">
      <c r="A360" s="76"/>
      <c r="B360" s="73"/>
      <c r="C360" s="75"/>
      <c r="D360" s="72"/>
      <c r="E360" s="78"/>
      <c r="S360" s="151">
        <v>52732</v>
      </c>
      <c r="T360" s="146">
        <v>33.856999999999999</v>
      </c>
      <c r="U360" s="146">
        <v>33.957000000000001</v>
      </c>
      <c r="V360" s="149">
        <v>-0.04</v>
      </c>
      <c r="W360" s="147">
        <v>3.64</v>
      </c>
    </row>
    <row r="361" spans="1:23" ht="13.5" thickBot="1" x14ac:dyDescent="0.25">
      <c r="A361" s="76"/>
      <c r="B361" s="73"/>
      <c r="C361" s="75"/>
      <c r="D361" s="72"/>
      <c r="E361" s="78"/>
      <c r="S361" s="153"/>
      <c r="T361" s="153"/>
      <c r="U361" s="153"/>
      <c r="V361" s="153"/>
      <c r="W361" s="157"/>
    </row>
    <row r="362" spans="1:23" ht="13.5" thickBot="1" x14ac:dyDescent="0.25">
      <c r="A362" s="76"/>
      <c r="B362" s="73"/>
      <c r="C362" s="75"/>
      <c r="D362" s="72"/>
      <c r="E362" s="78"/>
      <c r="S362" s="153"/>
      <c r="T362" s="153"/>
      <c r="U362" s="153"/>
      <c r="V362" s="153"/>
      <c r="W362" s="157"/>
    </row>
    <row r="363" spans="1:23" ht="13.5" thickBot="1" x14ac:dyDescent="0.25">
      <c r="A363" s="76"/>
      <c r="B363" s="73"/>
      <c r="C363" s="75"/>
      <c r="D363" s="72"/>
      <c r="E363" s="78"/>
      <c r="S363" s="153"/>
      <c r="T363" s="153"/>
      <c r="U363" s="153"/>
      <c r="V363" s="153"/>
      <c r="W363" s="157"/>
    </row>
    <row r="364" spans="1:23" x14ac:dyDescent="0.2">
      <c r="A364" s="76"/>
      <c r="B364" s="73"/>
      <c r="C364" s="75"/>
      <c r="D364" s="72"/>
      <c r="E364" s="78"/>
      <c r="S364" s="143" t="s">
        <v>331</v>
      </c>
      <c r="T364" s="150"/>
      <c r="U364" s="150"/>
      <c r="V364" s="150"/>
      <c r="W364" s="150"/>
    </row>
    <row r="365" spans="1:23" ht="174" thickBot="1" x14ac:dyDescent="0.25">
      <c r="A365" s="76"/>
      <c r="B365" s="73"/>
      <c r="C365" s="75"/>
      <c r="D365" s="72"/>
      <c r="E365" s="78"/>
      <c r="S365" s="144" t="s">
        <v>332</v>
      </c>
      <c r="T365" s="150"/>
      <c r="U365" s="150"/>
      <c r="V365" s="150"/>
      <c r="W365" s="150"/>
    </row>
    <row r="366" spans="1:23" x14ac:dyDescent="0.2">
      <c r="A366" s="76"/>
      <c r="B366" s="73"/>
      <c r="C366" s="75"/>
      <c r="D366" s="72"/>
      <c r="E366" s="78"/>
      <c r="S366" s="145"/>
    </row>
  </sheetData>
  <sortState ref="S9:W363">
    <sortCondition ref="S8:S363"/>
  </sortState>
  <mergeCells count="5">
    <mergeCell ref="A1:F1"/>
    <mergeCell ref="S6:S7"/>
    <mergeCell ref="T6:T7"/>
    <mergeCell ref="U6:U7"/>
    <mergeCell ref="V6:V7"/>
  </mergeCells>
  <hyperlinks>
    <hyperlink ref="S2" r:id="rId2" display="javascript:lcs(document.getElementById('histcalendar'))"/>
    <hyperlink ref="S364" r:id="rId3" display="http://www.sstbond.com/"/>
    <hyperlink ref="Y1" r:id="rId4"/>
  </hyperlinks>
  <printOptions headings="1" gridLines="1"/>
  <pageMargins left="0.7" right="0.7" top="0.75" bottom="0.75" header="0.3" footer="0.3"/>
  <pageSetup orientation="portrait" verticalDpi="4" r:id="rId5"/>
  <drawing r:id="rId6"/>
  <legacyDrawing r:id="rId7"/>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9"/>
  <sheetViews>
    <sheetView workbookViewId="0">
      <selection activeCell="N5" sqref="N5"/>
    </sheetView>
  </sheetViews>
  <sheetFormatPr defaultRowHeight="12.75" x14ac:dyDescent="0.2"/>
  <cols>
    <col min="3" max="3" width="14.140625" customWidth="1"/>
    <col min="14" max="14" width="35.5703125" bestFit="1" customWidth="1"/>
  </cols>
  <sheetData>
    <row r="1" spans="1:27" ht="32.65" customHeight="1" x14ac:dyDescent="0.25">
      <c r="A1" s="272" t="s">
        <v>404</v>
      </c>
      <c r="B1" s="272"/>
      <c r="C1" s="272"/>
      <c r="D1" s="272"/>
      <c r="E1" s="272"/>
      <c r="F1" s="272"/>
      <c r="G1" s="272"/>
      <c r="H1" s="272"/>
      <c r="I1" s="272"/>
      <c r="J1" s="272"/>
      <c r="K1" s="272"/>
      <c r="O1" t="s">
        <v>444</v>
      </c>
      <c r="P1" s="110" t="s">
        <v>445</v>
      </c>
    </row>
    <row r="2" spans="1:27" s="84" customFormat="1" ht="38.25" x14ac:dyDescent="0.2">
      <c r="A2" s="200" t="s">
        <v>14</v>
      </c>
      <c r="B2" s="201" t="s">
        <v>405</v>
      </c>
      <c r="C2" s="201" t="s">
        <v>406</v>
      </c>
    </row>
    <row r="3" spans="1:27" x14ac:dyDescent="0.2">
      <c r="A3" s="2">
        <v>17168</v>
      </c>
      <c r="B3" s="84">
        <v>22.332000000000001</v>
      </c>
      <c r="C3" s="203">
        <f>1*($B$69/B3)</f>
        <v>10.420786315600932</v>
      </c>
      <c r="D3" t="e">
        <f ca="1">getformula(C3)</f>
        <v>#NAME?</v>
      </c>
      <c r="N3" s="202"/>
    </row>
    <row r="4" spans="1:27" x14ac:dyDescent="0.2">
      <c r="A4" s="2">
        <v>17533</v>
      </c>
      <c r="B4" s="84">
        <v>24.045000000000002</v>
      </c>
      <c r="C4" s="203">
        <f t="shared" ref="C4:C67" si="0">1*($B$69/B4)</f>
        <v>9.6783946766479509</v>
      </c>
      <c r="D4" t="e">
        <f ca="1">getformula(C4)</f>
        <v>#NAME?</v>
      </c>
      <c r="N4" s="202"/>
      <c r="AA4" t="s">
        <v>407</v>
      </c>
    </row>
    <row r="5" spans="1:27" x14ac:dyDescent="0.2">
      <c r="A5" s="2">
        <v>17899</v>
      </c>
      <c r="B5" s="84">
        <v>23.809000000000001</v>
      </c>
      <c r="C5" s="203">
        <f t="shared" si="0"/>
        <v>9.7743290352387753</v>
      </c>
      <c r="D5" t="e">
        <f ca="1">getformula(C5)</f>
        <v>#NAME?</v>
      </c>
      <c r="N5" s="202"/>
      <c r="AA5" t="s">
        <v>413</v>
      </c>
    </row>
    <row r="6" spans="1:27" x14ac:dyDescent="0.2">
      <c r="A6" s="2">
        <v>18264</v>
      </c>
      <c r="B6" s="84">
        <v>24.062999999999999</v>
      </c>
      <c r="C6" s="203">
        <f t="shared" si="0"/>
        <v>9.6711548850932978</v>
      </c>
      <c r="D6" t="e">
        <f ca="1">getformula(C6)</f>
        <v>#NAME?</v>
      </c>
      <c r="N6" s="202"/>
      <c r="AA6" t="s">
        <v>414</v>
      </c>
    </row>
    <row r="7" spans="1:27" x14ac:dyDescent="0.2">
      <c r="A7" s="2">
        <v>18629</v>
      </c>
      <c r="B7" s="84">
        <v>25.972999999999999</v>
      </c>
      <c r="C7" s="203">
        <f t="shared" si="0"/>
        <v>8.9599584183575267</v>
      </c>
      <c r="N7" s="202"/>
      <c r="AA7" t="s">
        <v>413</v>
      </c>
    </row>
    <row r="8" spans="1:27" x14ac:dyDescent="0.2">
      <c r="A8" s="2">
        <v>18994</v>
      </c>
      <c r="B8" s="84">
        <v>26.567</v>
      </c>
      <c r="C8" s="203">
        <f t="shared" si="0"/>
        <v>8.7596266044340734</v>
      </c>
      <c r="N8" s="202"/>
      <c r="AA8" t="s">
        <v>415</v>
      </c>
    </row>
    <row r="9" spans="1:27" x14ac:dyDescent="0.2">
      <c r="A9" s="2">
        <v>19360</v>
      </c>
      <c r="B9" s="84">
        <v>26.768000000000001</v>
      </c>
      <c r="C9" s="203">
        <f t="shared" si="0"/>
        <v>8.6938508667065157</v>
      </c>
      <c r="N9" s="202"/>
      <c r="AA9" t="s">
        <v>415</v>
      </c>
    </row>
    <row r="10" spans="1:27" x14ac:dyDescent="0.2">
      <c r="A10" s="2">
        <v>19725</v>
      </c>
      <c r="B10" s="84">
        <v>26.864999999999998</v>
      </c>
      <c r="C10" s="203">
        <f t="shared" si="0"/>
        <v>8.6624604504001503</v>
      </c>
      <c r="N10" s="202"/>
      <c r="AA10" t="s">
        <v>418</v>
      </c>
    </row>
    <row r="11" spans="1:27" x14ac:dyDescent="0.2">
      <c r="A11" s="2">
        <v>20090</v>
      </c>
      <c r="B11" s="84">
        <v>26.795999999999999</v>
      </c>
      <c r="C11" s="203">
        <f t="shared" si="0"/>
        <v>8.6847663830422466</v>
      </c>
      <c r="N11" s="202"/>
      <c r="AA11" t="s">
        <v>407</v>
      </c>
    </row>
    <row r="12" spans="1:27" x14ac:dyDescent="0.2">
      <c r="A12" s="2">
        <v>20455</v>
      </c>
      <c r="B12" s="84">
        <v>27.190999999999999</v>
      </c>
      <c r="C12" s="203">
        <f t="shared" si="0"/>
        <v>8.5586039498363444</v>
      </c>
      <c r="N12" s="202"/>
      <c r="AA12" t="s">
        <v>421</v>
      </c>
    </row>
    <row r="13" spans="1:27" x14ac:dyDescent="0.2">
      <c r="A13" s="2">
        <v>20821</v>
      </c>
      <c r="B13" s="84">
        <v>28.113</v>
      </c>
      <c r="C13" s="203">
        <f t="shared" si="0"/>
        <v>8.2779141322519845</v>
      </c>
      <c r="N13" s="202"/>
      <c r="AA13" t="s">
        <v>423</v>
      </c>
    </row>
    <row r="14" spans="1:27" x14ac:dyDescent="0.2">
      <c r="A14" s="2">
        <v>21186</v>
      </c>
      <c r="B14" s="84">
        <v>28.881</v>
      </c>
      <c r="C14" s="203">
        <f t="shared" si="0"/>
        <v>8.0577888577265337</v>
      </c>
      <c r="N14" s="202"/>
      <c r="AA14" t="s">
        <v>415</v>
      </c>
    </row>
    <row r="15" spans="1:27" x14ac:dyDescent="0.2">
      <c r="A15" s="2">
        <v>21551</v>
      </c>
      <c r="B15" s="84">
        <v>29.15</v>
      </c>
      <c r="C15" s="203">
        <f t="shared" si="0"/>
        <v>7.9834305317324192</v>
      </c>
      <c r="N15" s="202"/>
      <c r="AA15" t="s">
        <v>419</v>
      </c>
    </row>
    <row r="16" spans="1:27" x14ac:dyDescent="0.2">
      <c r="A16" s="2">
        <v>21916</v>
      </c>
      <c r="B16" s="84">
        <v>29.585000000000001</v>
      </c>
      <c r="C16" s="203">
        <f t="shared" si="0"/>
        <v>7.8660469832685482</v>
      </c>
      <c r="N16" s="202"/>
      <c r="AA16" t="s">
        <v>427</v>
      </c>
    </row>
    <row r="17" spans="1:27" x14ac:dyDescent="0.2">
      <c r="A17" s="2">
        <v>22282</v>
      </c>
      <c r="B17" s="84">
        <v>29.902000000000001</v>
      </c>
      <c r="C17" s="203">
        <f t="shared" si="0"/>
        <v>7.7826566784830451</v>
      </c>
      <c r="N17" s="202"/>
      <c r="AA17" t="s">
        <v>407</v>
      </c>
    </row>
    <row r="18" spans="1:27" x14ac:dyDescent="0.2">
      <c r="A18" s="2">
        <v>22647</v>
      </c>
      <c r="B18" s="84">
        <v>30.253</v>
      </c>
      <c r="C18" s="203">
        <f t="shared" si="0"/>
        <v>7.692361088156547</v>
      </c>
      <c r="N18" s="202"/>
      <c r="AA18" t="s">
        <v>415</v>
      </c>
    </row>
    <row r="19" spans="1:27" x14ac:dyDescent="0.2">
      <c r="A19" s="2">
        <v>23012</v>
      </c>
      <c r="B19" s="84">
        <v>30.632999999999999</v>
      </c>
      <c r="C19" s="203">
        <f t="shared" si="0"/>
        <v>7.5969379427414889</v>
      </c>
      <c r="D19" t="e">
        <f ca="1">getformula(C19)</f>
        <v>#NAME?</v>
      </c>
      <c r="N19" s="202"/>
      <c r="AA19" t="s">
        <v>427</v>
      </c>
    </row>
    <row r="20" spans="1:27" x14ac:dyDescent="0.2">
      <c r="A20" s="2">
        <v>23377</v>
      </c>
      <c r="B20" s="84">
        <v>31.038</v>
      </c>
      <c r="C20" s="203">
        <f t="shared" si="0"/>
        <v>7.4978091371866746</v>
      </c>
      <c r="N20" s="202"/>
      <c r="AA20" t="s">
        <v>419</v>
      </c>
    </row>
    <row r="21" spans="1:27" x14ac:dyDescent="0.2">
      <c r="A21" s="2">
        <v>23743</v>
      </c>
      <c r="B21" s="84">
        <v>31.527999999999999</v>
      </c>
      <c r="C21" s="203">
        <f t="shared" si="0"/>
        <v>7.3812801319462071</v>
      </c>
      <c r="N21" s="202"/>
      <c r="AA21" t="s">
        <v>412</v>
      </c>
    </row>
    <row r="22" spans="1:27" x14ac:dyDescent="0.2">
      <c r="A22" s="2">
        <v>24108</v>
      </c>
      <c r="B22" s="84">
        <v>32.470999999999997</v>
      </c>
      <c r="C22" s="203">
        <f t="shared" si="0"/>
        <v>7.1669181731391101</v>
      </c>
      <c r="N22" s="202"/>
      <c r="AA22" t="s">
        <v>426</v>
      </c>
    </row>
    <row r="23" spans="1:27" x14ac:dyDescent="0.2">
      <c r="A23" s="2">
        <v>24473</v>
      </c>
      <c r="B23" s="84">
        <v>33.375</v>
      </c>
      <c r="C23" s="203">
        <f t="shared" si="0"/>
        <v>6.9727940074906369</v>
      </c>
      <c r="N23" s="202"/>
      <c r="AA23" t="s">
        <v>428</v>
      </c>
    </row>
    <row r="24" spans="1:27" x14ac:dyDescent="0.2">
      <c r="A24" s="2">
        <v>24838</v>
      </c>
      <c r="B24" s="84">
        <v>34.792000000000002</v>
      </c>
      <c r="C24" s="203">
        <f t="shared" si="0"/>
        <v>6.6888077719015868</v>
      </c>
      <c r="N24" s="202"/>
      <c r="AA24" t="s">
        <v>408</v>
      </c>
    </row>
    <row r="25" spans="1:27" x14ac:dyDescent="0.2">
      <c r="A25" s="2">
        <v>25204</v>
      </c>
      <c r="B25" s="84">
        <v>36.683</v>
      </c>
      <c r="C25" s="203">
        <f t="shared" si="0"/>
        <v>6.3440013085080285</v>
      </c>
      <c r="N25" s="202"/>
      <c r="AA25" t="s">
        <v>431</v>
      </c>
    </row>
    <row r="26" spans="1:27" x14ac:dyDescent="0.2">
      <c r="A26" s="2">
        <v>25569</v>
      </c>
      <c r="B26" s="84">
        <v>38.841999999999999</v>
      </c>
      <c r="C26" s="203">
        <f t="shared" si="0"/>
        <v>5.9913753153802594</v>
      </c>
      <c r="N26" s="202"/>
      <c r="AA26" t="s">
        <v>420</v>
      </c>
    </row>
    <row r="27" spans="1:27" x14ac:dyDescent="0.2">
      <c r="A27" s="2">
        <v>25934</v>
      </c>
      <c r="B27" s="84">
        <v>40.482999999999997</v>
      </c>
      <c r="C27" s="203">
        <f t="shared" si="0"/>
        <v>5.7485117209692964</v>
      </c>
      <c r="N27" s="202"/>
      <c r="AA27" t="s">
        <v>422</v>
      </c>
    </row>
    <row r="28" spans="1:27" x14ac:dyDescent="0.2">
      <c r="A28" s="2">
        <v>26299</v>
      </c>
      <c r="B28" s="84">
        <v>41.808</v>
      </c>
      <c r="C28" s="203">
        <f t="shared" si="0"/>
        <v>5.5663270187523919</v>
      </c>
      <c r="N28" s="202"/>
      <c r="AA28" t="s">
        <v>416</v>
      </c>
    </row>
    <row r="29" spans="1:27" x14ac:dyDescent="0.2">
      <c r="A29" s="2">
        <v>26665</v>
      </c>
      <c r="B29" s="84">
        <v>44.424999999999997</v>
      </c>
      <c r="C29" s="203">
        <f t="shared" si="0"/>
        <v>5.2384243106359039</v>
      </c>
      <c r="N29" s="202"/>
      <c r="AA29" t="s">
        <v>409</v>
      </c>
    </row>
    <row r="30" spans="1:27" x14ac:dyDescent="0.2">
      <c r="A30" s="2">
        <v>27030</v>
      </c>
      <c r="B30" s="84">
        <v>49.317</v>
      </c>
      <c r="C30" s="203">
        <f t="shared" si="0"/>
        <v>4.7187987914917775</v>
      </c>
      <c r="N30" s="202"/>
      <c r="AA30" t="s">
        <v>417</v>
      </c>
    </row>
    <row r="31" spans="1:27" x14ac:dyDescent="0.2">
      <c r="A31" s="2">
        <v>27395</v>
      </c>
      <c r="B31" s="84">
        <v>53.825000000000003</v>
      </c>
      <c r="C31" s="203">
        <f t="shared" si="0"/>
        <v>4.3235856943799353</v>
      </c>
      <c r="N31" s="202"/>
      <c r="AA31" t="s">
        <v>416</v>
      </c>
    </row>
    <row r="32" spans="1:27" x14ac:dyDescent="0.2">
      <c r="A32" s="2">
        <v>27760</v>
      </c>
      <c r="B32" s="84">
        <v>56.933</v>
      </c>
      <c r="C32" s="203">
        <f t="shared" si="0"/>
        <v>4.0875590606502383</v>
      </c>
      <c r="N32" s="202"/>
      <c r="AA32" t="s">
        <v>425</v>
      </c>
    </row>
    <row r="33" spans="1:27" x14ac:dyDescent="0.2">
      <c r="A33" s="2">
        <v>28126</v>
      </c>
      <c r="B33" s="84">
        <v>60.616999999999997</v>
      </c>
      <c r="C33" s="203">
        <f t="shared" si="0"/>
        <v>3.8391375356748112</v>
      </c>
      <c r="N33" s="202"/>
      <c r="AA33" t="s">
        <v>409</v>
      </c>
    </row>
    <row r="34" spans="1:27" x14ac:dyDescent="0.2">
      <c r="A34" s="2">
        <v>28491</v>
      </c>
      <c r="B34" s="84">
        <v>65.242000000000004</v>
      </c>
      <c r="C34" s="203">
        <f t="shared" si="0"/>
        <v>3.5669813923546183</v>
      </c>
      <c r="N34" s="202"/>
      <c r="AA34" t="s">
        <v>430</v>
      </c>
    </row>
    <row r="35" spans="1:27" x14ac:dyDescent="0.2">
      <c r="A35" s="2">
        <v>28856</v>
      </c>
      <c r="B35" s="84">
        <v>72.582999999999998</v>
      </c>
      <c r="C35" s="203">
        <f t="shared" si="0"/>
        <v>3.2062190871140626</v>
      </c>
      <c r="N35" s="202"/>
      <c r="AA35" t="s">
        <v>435</v>
      </c>
    </row>
    <row r="36" spans="1:27" x14ac:dyDescent="0.2">
      <c r="A36" s="2">
        <v>29221</v>
      </c>
      <c r="B36" s="84">
        <v>82.382999999999996</v>
      </c>
      <c r="C36" s="203">
        <f t="shared" si="0"/>
        <v>2.8248182270614084</v>
      </c>
      <c r="N36" s="202"/>
      <c r="AA36" t="s">
        <v>436</v>
      </c>
    </row>
    <row r="37" spans="1:27" x14ac:dyDescent="0.2">
      <c r="A37" s="2">
        <v>29587</v>
      </c>
      <c r="B37" s="84">
        <v>90.933000000000007</v>
      </c>
      <c r="C37" s="203">
        <f t="shared" si="0"/>
        <v>2.559213926737268</v>
      </c>
      <c r="N37" s="202"/>
      <c r="AA37" t="s">
        <v>437</v>
      </c>
    </row>
    <row r="38" spans="1:27" x14ac:dyDescent="0.2">
      <c r="A38" s="2">
        <v>29952</v>
      </c>
      <c r="B38" s="84">
        <v>96.533000000000001</v>
      </c>
      <c r="C38" s="203">
        <f t="shared" si="0"/>
        <v>2.4107507277304134</v>
      </c>
      <c r="N38" s="202"/>
      <c r="AA38" t="s">
        <v>438</v>
      </c>
    </row>
    <row r="39" spans="1:27" x14ac:dyDescent="0.2">
      <c r="A39" s="2">
        <v>30317</v>
      </c>
      <c r="B39" s="84">
        <v>99.582999999999998</v>
      </c>
      <c r="C39" s="203">
        <f t="shared" si="0"/>
        <v>2.3369149352801184</v>
      </c>
      <c r="N39" s="202"/>
      <c r="AA39" t="s">
        <v>434</v>
      </c>
    </row>
    <row r="40" spans="1:27" x14ac:dyDescent="0.2">
      <c r="A40" s="2">
        <v>30682</v>
      </c>
      <c r="B40" s="84">
        <v>103.93300000000001</v>
      </c>
      <c r="C40" s="203">
        <f t="shared" si="0"/>
        <v>2.2391059624950689</v>
      </c>
      <c r="N40" s="202"/>
      <c r="AA40" t="s">
        <v>432</v>
      </c>
    </row>
    <row r="41" spans="1:27" x14ac:dyDescent="0.2">
      <c r="A41" s="2">
        <v>31048</v>
      </c>
      <c r="B41" s="84">
        <v>107.6</v>
      </c>
      <c r="C41" s="203">
        <f t="shared" si="0"/>
        <v>2.1627973977695172</v>
      </c>
      <c r="N41" s="202"/>
      <c r="AA41" t="s">
        <v>440</v>
      </c>
    </row>
    <row r="42" spans="1:27" x14ac:dyDescent="0.2">
      <c r="A42" s="2">
        <v>31413</v>
      </c>
      <c r="B42" s="84">
        <v>109.69199999999999</v>
      </c>
      <c r="C42" s="203">
        <f t="shared" si="0"/>
        <v>2.1215494293111625</v>
      </c>
      <c r="N42" s="202"/>
      <c r="AA42" t="s">
        <v>441</v>
      </c>
    </row>
    <row r="43" spans="1:27" x14ac:dyDescent="0.2">
      <c r="A43" s="2">
        <v>31778</v>
      </c>
      <c r="B43" s="84">
        <v>113.617</v>
      </c>
      <c r="C43" s="203">
        <f t="shared" si="0"/>
        <v>2.0482586232694051</v>
      </c>
      <c r="N43" s="202"/>
      <c r="AA43" t="s">
        <v>411</v>
      </c>
    </row>
    <row r="44" spans="1:27" x14ac:dyDescent="0.2">
      <c r="A44" s="2">
        <v>32143</v>
      </c>
      <c r="B44" s="84">
        <v>118.27500000000001</v>
      </c>
      <c r="C44" s="203">
        <f t="shared" si="0"/>
        <v>1.9675924751638132</v>
      </c>
      <c r="N44" s="202"/>
      <c r="AA44" t="s">
        <v>410</v>
      </c>
    </row>
    <row r="45" spans="1:27" x14ac:dyDescent="0.2">
      <c r="A45" s="2">
        <v>32509</v>
      </c>
      <c r="B45" s="84">
        <v>123.94199999999999</v>
      </c>
      <c r="C45" s="203">
        <f t="shared" si="0"/>
        <v>1.8776282454696553</v>
      </c>
      <c r="N45" s="202"/>
      <c r="AA45" t="s">
        <v>424</v>
      </c>
    </row>
    <row r="46" spans="1:27" x14ac:dyDescent="0.2">
      <c r="A46" s="2">
        <v>32874</v>
      </c>
      <c r="B46" s="84">
        <v>130.65799999999999</v>
      </c>
      <c r="C46" s="203">
        <f t="shared" si="0"/>
        <v>1.7811155841969113</v>
      </c>
      <c r="N46" s="202"/>
      <c r="AA46" t="s">
        <v>433</v>
      </c>
    </row>
    <row r="47" spans="1:27" x14ac:dyDescent="0.2">
      <c r="A47" s="2">
        <v>33239</v>
      </c>
      <c r="B47" s="84">
        <v>136.167</v>
      </c>
      <c r="C47" s="203">
        <f t="shared" si="0"/>
        <v>1.7090557917850875</v>
      </c>
      <c r="N47" s="202"/>
      <c r="AA47" t="s">
        <v>439</v>
      </c>
    </row>
    <row r="48" spans="1:27" x14ac:dyDescent="0.2">
      <c r="A48" s="2">
        <v>33604</v>
      </c>
      <c r="B48" s="84">
        <v>140.30799999999999</v>
      </c>
      <c r="C48" s="203">
        <f t="shared" si="0"/>
        <v>1.6586153319839212</v>
      </c>
      <c r="N48" s="202"/>
      <c r="AA48" t="s">
        <v>424</v>
      </c>
    </row>
    <row r="49" spans="1:27" x14ac:dyDescent="0.2">
      <c r="A49" s="2">
        <v>33970</v>
      </c>
      <c r="B49" s="84">
        <v>144.47499999999999</v>
      </c>
      <c r="C49" s="203">
        <f t="shared" si="0"/>
        <v>1.61077695102959</v>
      </c>
      <c r="N49" s="202"/>
      <c r="AA49" t="s">
        <v>411</v>
      </c>
    </row>
    <row r="50" spans="1:27" x14ac:dyDescent="0.2">
      <c r="A50" s="2">
        <v>34335</v>
      </c>
      <c r="B50" s="84">
        <v>148.22499999999999</v>
      </c>
      <c r="C50" s="203">
        <f t="shared" si="0"/>
        <v>1.5700252993759489</v>
      </c>
      <c r="N50" s="202"/>
      <c r="AA50" t="s">
        <v>418</v>
      </c>
    </row>
    <row r="51" spans="1:27" x14ac:dyDescent="0.2">
      <c r="A51" s="2">
        <v>34700</v>
      </c>
      <c r="B51" s="84">
        <v>152.38300000000001</v>
      </c>
      <c r="C51" s="203">
        <f t="shared" si="0"/>
        <v>1.5271847909543714</v>
      </c>
      <c r="N51" s="202"/>
      <c r="AA51" t="s">
        <v>429</v>
      </c>
    </row>
    <row r="52" spans="1:27" x14ac:dyDescent="0.2">
      <c r="A52" s="2">
        <v>35065</v>
      </c>
      <c r="B52" s="84">
        <v>156.858</v>
      </c>
      <c r="C52" s="203">
        <f t="shared" si="0"/>
        <v>1.48361575437657</v>
      </c>
      <c r="N52" s="202"/>
      <c r="AA52" t="s">
        <v>423</v>
      </c>
    </row>
    <row r="53" spans="1:27" x14ac:dyDescent="0.2">
      <c r="A53" s="2">
        <v>35431</v>
      </c>
      <c r="B53" s="84">
        <v>160.52500000000001</v>
      </c>
      <c r="C53" s="203">
        <f t="shared" si="0"/>
        <v>1.4497243420028034</v>
      </c>
      <c r="N53" s="202"/>
      <c r="AA53" t="s">
        <v>429</v>
      </c>
    </row>
    <row r="54" spans="1:27" x14ac:dyDescent="0.2">
      <c r="A54" s="2">
        <v>35796</v>
      </c>
      <c r="B54" s="84">
        <v>163.00800000000001</v>
      </c>
      <c r="C54" s="203">
        <f t="shared" si="0"/>
        <v>1.4276415881429132</v>
      </c>
      <c r="N54" s="202"/>
      <c r="AA54" t="s">
        <v>429</v>
      </c>
    </row>
    <row r="55" spans="1:27" x14ac:dyDescent="0.2">
      <c r="A55" s="2">
        <v>36161</v>
      </c>
      <c r="B55" s="84">
        <v>166.583</v>
      </c>
      <c r="C55" s="203">
        <f t="shared" si="0"/>
        <v>1.3970032956544187</v>
      </c>
      <c r="N55" s="202"/>
      <c r="AA55" t="s">
        <v>442</v>
      </c>
    </row>
    <row r="56" spans="1:27" x14ac:dyDescent="0.2">
      <c r="A56" s="2">
        <v>36526</v>
      </c>
      <c r="B56" s="84">
        <v>172.19200000000001</v>
      </c>
      <c r="C56" s="203">
        <f t="shared" si="0"/>
        <v>1.3514971659542836</v>
      </c>
      <c r="N56" s="202"/>
      <c r="AA56" t="s">
        <v>423</v>
      </c>
    </row>
    <row r="57" spans="1:27" x14ac:dyDescent="0.2">
      <c r="A57" s="2">
        <v>36892</v>
      </c>
      <c r="B57" s="84">
        <v>177.042</v>
      </c>
      <c r="C57" s="203">
        <f t="shared" si="0"/>
        <v>1.3144734017916653</v>
      </c>
      <c r="N57" s="202"/>
      <c r="AA57" t="s">
        <v>443</v>
      </c>
    </row>
    <row r="58" spans="1:27" x14ac:dyDescent="0.2">
      <c r="A58" s="2">
        <v>37257</v>
      </c>
      <c r="B58" s="84">
        <v>179.86699999999999</v>
      </c>
      <c r="C58" s="203">
        <f t="shared" si="0"/>
        <v>1.2938282175162761</v>
      </c>
      <c r="N58" s="202"/>
      <c r="AA58" t="s">
        <v>415</v>
      </c>
    </row>
    <row r="59" spans="1:27" x14ac:dyDescent="0.2">
      <c r="A59" s="2">
        <v>37622</v>
      </c>
      <c r="B59" s="84">
        <v>184</v>
      </c>
      <c r="C59" s="203">
        <f t="shared" si="0"/>
        <v>1.2647663043478261</v>
      </c>
      <c r="N59" s="202"/>
    </row>
    <row r="60" spans="1:27" x14ac:dyDescent="0.2">
      <c r="A60" s="2">
        <v>37987</v>
      </c>
      <c r="B60" s="84">
        <v>188.90799999999999</v>
      </c>
      <c r="C60" s="203">
        <f t="shared" si="0"/>
        <v>1.2319065365151292</v>
      </c>
      <c r="N60" s="202"/>
    </row>
    <row r="61" spans="1:27" x14ac:dyDescent="0.2">
      <c r="A61" s="2">
        <v>38353</v>
      </c>
      <c r="B61" s="84">
        <v>195.267</v>
      </c>
      <c r="C61" s="203">
        <f t="shared" si="0"/>
        <v>1.1917886790906811</v>
      </c>
      <c r="N61" s="202"/>
    </row>
    <row r="62" spans="1:27" x14ac:dyDescent="0.2">
      <c r="A62" s="2">
        <v>38718</v>
      </c>
      <c r="B62" s="84">
        <v>201.55799999999999</v>
      </c>
      <c r="C62" s="203">
        <f t="shared" si="0"/>
        <v>1.1545907381498131</v>
      </c>
      <c r="N62" s="202"/>
    </row>
    <row r="63" spans="1:27" x14ac:dyDescent="0.2">
      <c r="A63" s="2">
        <v>39083</v>
      </c>
      <c r="B63" s="84">
        <v>207.34399999999999</v>
      </c>
      <c r="C63" s="203">
        <f t="shared" si="0"/>
        <v>1.1223715178640328</v>
      </c>
      <c r="N63" s="202"/>
    </row>
    <row r="64" spans="1:27" x14ac:dyDescent="0.2">
      <c r="A64" s="2">
        <v>39448</v>
      </c>
      <c r="B64" s="84">
        <v>215.25399999999999</v>
      </c>
      <c r="C64" s="203">
        <f t="shared" si="0"/>
        <v>1.0811274122664389</v>
      </c>
      <c r="N64" s="202"/>
    </row>
    <row r="65" spans="1:14" x14ac:dyDescent="0.2">
      <c r="A65" s="2">
        <v>39814</v>
      </c>
      <c r="B65" s="84">
        <v>214.56700000000001</v>
      </c>
      <c r="C65" s="203">
        <f t="shared" si="0"/>
        <v>1.084588962888049</v>
      </c>
      <c r="N65" s="202"/>
    </row>
    <row r="66" spans="1:14" x14ac:dyDescent="0.2">
      <c r="A66" s="2">
        <v>40179</v>
      </c>
      <c r="B66" s="84">
        <v>218.08500000000001</v>
      </c>
      <c r="C66" s="203">
        <f t="shared" si="0"/>
        <v>1.067093105899076</v>
      </c>
      <c r="N66" s="202"/>
    </row>
    <row r="67" spans="1:14" x14ac:dyDescent="0.2">
      <c r="A67" s="2">
        <v>40544</v>
      </c>
      <c r="B67" s="84">
        <v>224.935</v>
      </c>
      <c r="C67" s="203">
        <f t="shared" si="0"/>
        <v>1.0345966612576967</v>
      </c>
      <c r="N67" s="202"/>
    </row>
    <row r="68" spans="1:14" x14ac:dyDescent="0.2">
      <c r="A68" s="2">
        <v>40909</v>
      </c>
      <c r="B68" s="84">
        <v>229.60400000000001</v>
      </c>
      <c r="C68" s="203">
        <f t="shared" ref="C68:C69" si="1">1*($B$69/B68)</f>
        <v>1.0135581261650495</v>
      </c>
      <c r="N68" s="202"/>
    </row>
    <row r="69" spans="1:14" x14ac:dyDescent="0.2">
      <c r="A69" s="2">
        <v>41275</v>
      </c>
      <c r="B69" s="84">
        <v>232.71700000000001</v>
      </c>
      <c r="C69" s="203">
        <f t="shared" si="1"/>
        <v>1</v>
      </c>
      <c r="N69" s="202"/>
    </row>
  </sheetData>
  <sortState ref="N3:O69">
    <sortCondition ref="N3:N69"/>
  </sortState>
  <mergeCells count="1">
    <mergeCell ref="A1:K1"/>
  </mergeCells>
  <hyperlinks>
    <hyperlink ref="P1" r:id="rId1"/>
  </hyperlinks>
  <pageMargins left="0.7" right="0.7" top="0.75" bottom="0.75" header="0.3" footer="0.3"/>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9"/>
  <sheetViews>
    <sheetView workbookViewId="0">
      <selection activeCell="M9" sqref="M9"/>
    </sheetView>
  </sheetViews>
  <sheetFormatPr defaultColWidth="8.85546875" defaultRowHeight="12.75" x14ac:dyDescent="0.2"/>
  <cols>
    <col min="1" max="1" width="8.85546875" style="84"/>
    <col min="2" max="2" width="7.7109375" style="84" bestFit="1" customWidth="1"/>
    <col min="3" max="3" width="11.5703125" style="84" bestFit="1" customWidth="1"/>
    <col min="4" max="4" width="13.140625" style="84" bestFit="1" customWidth="1"/>
    <col min="5" max="5" width="19.7109375" style="84" bestFit="1" customWidth="1"/>
    <col min="6" max="13" width="8.85546875" style="84"/>
    <col min="14" max="14" width="35.5703125" style="84" customWidth="1"/>
    <col min="15" max="16384" width="8.85546875" style="84"/>
  </cols>
  <sheetData>
    <row r="1" spans="1:27" ht="32.65" customHeight="1" x14ac:dyDescent="0.25">
      <c r="A1" s="272" t="s">
        <v>446</v>
      </c>
      <c r="B1" s="272"/>
      <c r="C1" s="272"/>
      <c r="D1" s="272"/>
      <c r="E1" s="272"/>
      <c r="F1" s="272"/>
      <c r="G1" s="272"/>
      <c r="H1" s="272"/>
      <c r="I1" s="272"/>
      <c r="J1" s="272"/>
      <c r="K1" s="272"/>
      <c r="O1" s="84" t="s">
        <v>444</v>
      </c>
      <c r="P1" s="110" t="s">
        <v>445</v>
      </c>
    </row>
    <row r="2" spans="1:27" ht="38.25" x14ac:dyDescent="0.2">
      <c r="A2" s="200" t="s">
        <v>14</v>
      </c>
      <c r="B2" s="201" t="s">
        <v>405</v>
      </c>
      <c r="C2" s="201" t="s">
        <v>447</v>
      </c>
    </row>
    <row r="3" spans="1:27" x14ac:dyDescent="0.2">
      <c r="A3" s="2">
        <v>17168</v>
      </c>
      <c r="B3" s="84">
        <v>22.332000000000001</v>
      </c>
      <c r="C3" s="203"/>
      <c r="E3" s="84" t="s">
        <v>448</v>
      </c>
      <c r="F3" s="11">
        <f>AVERAGE(C:C)</f>
        <v>3.6533909921534491E-2</v>
      </c>
      <c r="G3" s="84" t="e">
        <f ca="1">getformula(F3)</f>
        <v>#NAME?</v>
      </c>
      <c r="N3" s="202"/>
    </row>
    <row r="4" spans="1:27" x14ac:dyDescent="0.2">
      <c r="A4" s="2">
        <v>17533</v>
      </c>
      <c r="B4" s="84">
        <v>24.045000000000002</v>
      </c>
      <c r="C4" s="11">
        <f>B4/B3-1</f>
        <v>7.6706072004298909E-2</v>
      </c>
      <c r="D4" s="84" t="e">
        <f ca="1">getformula(C4)</f>
        <v>#NAME?</v>
      </c>
      <c r="E4" s="84" t="s">
        <v>449</v>
      </c>
      <c r="F4" s="11">
        <f>MIN(C:C)</f>
        <v>-9.8149303389478693E-3</v>
      </c>
      <c r="G4" s="84" t="e">
        <f ca="1">getformula(F4)</f>
        <v>#NAME?</v>
      </c>
      <c r="N4" s="202"/>
      <c r="AA4" s="84" t="s">
        <v>407</v>
      </c>
    </row>
    <row r="5" spans="1:27" x14ac:dyDescent="0.2">
      <c r="A5" s="2">
        <v>17899</v>
      </c>
      <c r="B5" s="84">
        <v>23.809000000000001</v>
      </c>
      <c r="C5" s="11">
        <f t="shared" ref="C5:C68" si="0">B5/B4-1</f>
        <v>-9.8149303389478693E-3</v>
      </c>
      <c r="D5" s="84" t="e">
        <f ca="1">getformula(C5)</f>
        <v>#NAME?</v>
      </c>
      <c r="E5" s="84" t="s">
        <v>450</v>
      </c>
      <c r="F5" s="11">
        <f>MAX(C:C)</f>
        <v>0.13501784164336006</v>
      </c>
      <c r="G5" s="84" t="e">
        <f ca="1">getformula(F5)</f>
        <v>#NAME?</v>
      </c>
      <c r="N5" s="202"/>
      <c r="AA5" s="84" t="s">
        <v>413</v>
      </c>
    </row>
    <row r="6" spans="1:27" x14ac:dyDescent="0.2">
      <c r="A6" s="2">
        <v>18264</v>
      </c>
      <c r="B6" s="84">
        <v>24.062999999999999</v>
      </c>
      <c r="C6" s="11">
        <f t="shared" si="0"/>
        <v>1.0668234701163293E-2</v>
      </c>
      <c r="D6" s="84" t="e">
        <f ca="1">getformula(C6)</f>
        <v>#NAME?</v>
      </c>
      <c r="N6" s="202"/>
      <c r="AA6" s="84" t="s">
        <v>414</v>
      </c>
    </row>
    <row r="7" spans="1:27" x14ac:dyDescent="0.2">
      <c r="A7" s="2">
        <v>18629</v>
      </c>
      <c r="B7" s="84">
        <v>25.972999999999999</v>
      </c>
      <c r="C7" s="11">
        <f t="shared" si="0"/>
        <v>7.9374974026513723E-2</v>
      </c>
      <c r="N7" s="202"/>
      <c r="AA7" s="84" t="s">
        <v>413</v>
      </c>
    </row>
    <row r="8" spans="1:27" x14ac:dyDescent="0.2">
      <c r="A8" s="2">
        <v>18994</v>
      </c>
      <c r="B8" s="84">
        <v>26.567</v>
      </c>
      <c r="C8" s="11">
        <f t="shared" si="0"/>
        <v>2.2869903361182775E-2</v>
      </c>
      <c r="N8" s="202"/>
      <c r="AA8" s="84" t="s">
        <v>415</v>
      </c>
    </row>
    <row r="9" spans="1:27" x14ac:dyDescent="0.2">
      <c r="A9" s="2">
        <v>19360</v>
      </c>
      <c r="B9" s="84">
        <v>26.768000000000001</v>
      </c>
      <c r="C9" s="11">
        <f t="shared" si="0"/>
        <v>7.5657770918808875E-3</v>
      </c>
      <c r="N9" s="202"/>
      <c r="AA9" s="84" t="s">
        <v>415</v>
      </c>
    </row>
    <row r="10" spans="1:27" x14ac:dyDescent="0.2">
      <c r="A10" s="2">
        <v>19725</v>
      </c>
      <c r="B10" s="84">
        <v>26.864999999999998</v>
      </c>
      <c r="C10" s="11">
        <f t="shared" si="0"/>
        <v>3.6237298266585949E-3</v>
      </c>
      <c r="N10" s="202"/>
      <c r="AA10" s="84" t="s">
        <v>418</v>
      </c>
    </row>
    <row r="11" spans="1:27" x14ac:dyDescent="0.2">
      <c r="A11" s="2">
        <v>20090</v>
      </c>
      <c r="B11" s="84">
        <v>26.795999999999999</v>
      </c>
      <c r="C11" s="11">
        <f t="shared" si="0"/>
        <v>-2.568397543271872E-3</v>
      </c>
      <c r="N11" s="202"/>
      <c r="AA11" s="84" t="s">
        <v>407</v>
      </c>
    </row>
    <row r="12" spans="1:27" x14ac:dyDescent="0.2">
      <c r="A12" s="2">
        <v>20455</v>
      </c>
      <c r="B12" s="84">
        <v>27.190999999999999</v>
      </c>
      <c r="C12" s="11">
        <f t="shared" si="0"/>
        <v>1.4741006120316369E-2</v>
      </c>
      <c r="N12" s="202"/>
      <c r="AA12" s="84" t="s">
        <v>421</v>
      </c>
    </row>
    <row r="13" spans="1:27" x14ac:dyDescent="0.2">
      <c r="A13" s="2">
        <v>20821</v>
      </c>
      <c r="B13" s="84">
        <v>28.113</v>
      </c>
      <c r="C13" s="11">
        <f t="shared" si="0"/>
        <v>3.390827847449529E-2</v>
      </c>
      <c r="N13" s="202"/>
      <c r="AA13" s="84" t="s">
        <v>423</v>
      </c>
    </row>
    <row r="14" spans="1:27" x14ac:dyDescent="0.2">
      <c r="A14" s="2">
        <v>21186</v>
      </c>
      <c r="B14" s="84">
        <v>28.881</v>
      </c>
      <c r="C14" s="11">
        <f t="shared" si="0"/>
        <v>2.7318322484259916E-2</v>
      </c>
      <c r="N14" s="202"/>
      <c r="AA14" s="84" t="s">
        <v>415</v>
      </c>
    </row>
    <row r="15" spans="1:27" x14ac:dyDescent="0.2">
      <c r="A15" s="2">
        <v>21551</v>
      </c>
      <c r="B15" s="84">
        <v>29.15</v>
      </c>
      <c r="C15" s="11">
        <f t="shared" si="0"/>
        <v>9.3140819223711535E-3</v>
      </c>
      <c r="N15" s="202"/>
      <c r="AA15" s="84" t="s">
        <v>419</v>
      </c>
    </row>
    <row r="16" spans="1:27" x14ac:dyDescent="0.2">
      <c r="A16" s="2">
        <v>21916</v>
      </c>
      <c r="B16" s="84">
        <v>29.585000000000001</v>
      </c>
      <c r="C16" s="11">
        <f t="shared" si="0"/>
        <v>1.492281303602061E-2</v>
      </c>
      <c r="N16" s="202"/>
      <c r="AA16" s="84" t="s">
        <v>427</v>
      </c>
    </row>
    <row r="17" spans="1:27" x14ac:dyDescent="0.2">
      <c r="A17" s="2">
        <v>22282</v>
      </c>
      <c r="B17" s="84">
        <v>29.902000000000001</v>
      </c>
      <c r="C17" s="11">
        <f t="shared" si="0"/>
        <v>1.0714889302011255E-2</v>
      </c>
      <c r="N17" s="202"/>
      <c r="AA17" s="84" t="s">
        <v>407</v>
      </c>
    </row>
    <row r="18" spans="1:27" x14ac:dyDescent="0.2">
      <c r="A18" s="2">
        <v>22647</v>
      </c>
      <c r="B18" s="84">
        <v>30.253</v>
      </c>
      <c r="C18" s="11">
        <f t="shared" si="0"/>
        <v>1.1738345261186556E-2</v>
      </c>
      <c r="N18" s="202"/>
      <c r="AA18" s="84" t="s">
        <v>415</v>
      </c>
    </row>
    <row r="19" spans="1:27" x14ac:dyDescent="0.2">
      <c r="A19" s="2">
        <v>23012</v>
      </c>
      <c r="B19" s="84">
        <v>30.632999999999999</v>
      </c>
      <c r="C19" s="11">
        <f t="shared" si="0"/>
        <v>1.2560737778071651E-2</v>
      </c>
      <c r="D19" s="84" t="e">
        <f ca="1">getformula(C19)</f>
        <v>#NAME?</v>
      </c>
      <c r="N19" s="202"/>
      <c r="AA19" s="84" t="s">
        <v>427</v>
      </c>
    </row>
    <row r="20" spans="1:27" x14ac:dyDescent="0.2">
      <c r="A20" s="2">
        <v>23377</v>
      </c>
      <c r="B20" s="84">
        <v>31.038</v>
      </c>
      <c r="C20" s="11">
        <f t="shared" si="0"/>
        <v>1.322103613749892E-2</v>
      </c>
      <c r="N20" s="202"/>
      <c r="AA20" s="84" t="s">
        <v>419</v>
      </c>
    </row>
    <row r="21" spans="1:27" x14ac:dyDescent="0.2">
      <c r="A21" s="2">
        <v>23743</v>
      </c>
      <c r="B21" s="84">
        <v>31.527999999999999</v>
      </c>
      <c r="C21" s="11">
        <f t="shared" si="0"/>
        <v>1.5787099684257955E-2</v>
      </c>
      <c r="N21" s="202"/>
      <c r="AA21" s="84" t="s">
        <v>412</v>
      </c>
    </row>
    <row r="22" spans="1:27" x14ac:dyDescent="0.2">
      <c r="A22" s="2">
        <v>24108</v>
      </c>
      <c r="B22" s="84">
        <v>32.470999999999997</v>
      </c>
      <c r="C22" s="11">
        <f t="shared" si="0"/>
        <v>2.9909921339761336E-2</v>
      </c>
      <c r="N22" s="202"/>
      <c r="AA22" s="84" t="s">
        <v>426</v>
      </c>
    </row>
    <row r="23" spans="1:27" x14ac:dyDescent="0.2">
      <c r="A23" s="2">
        <v>24473</v>
      </c>
      <c r="B23" s="84">
        <v>33.375</v>
      </c>
      <c r="C23" s="11">
        <f t="shared" si="0"/>
        <v>2.7840226663792489E-2</v>
      </c>
      <c r="N23" s="202"/>
      <c r="AA23" s="84" t="s">
        <v>428</v>
      </c>
    </row>
    <row r="24" spans="1:27" x14ac:dyDescent="0.2">
      <c r="A24" s="2">
        <v>24838</v>
      </c>
      <c r="B24" s="84">
        <v>34.792000000000002</v>
      </c>
      <c r="C24" s="11">
        <f t="shared" si="0"/>
        <v>4.2456928838951358E-2</v>
      </c>
      <c r="N24" s="202"/>
      <c r="AA24" s="84" t="s">
        <v>408</v>
      </c>
    </row>
    <row r="25" spans="1:27" x14ac:dyDescent="0.2">
      <c r="A25" s="2">
        <v>25204</v>
      </c>
      <c r="B25" s="84">
        <v>36.683</v>
      </c>
      <c r="C25" s="11">
        <f t="shared" si="0"/>
        <v>5.4351575074729874E-2</v>
      </c>
      <c r="N25" s="202"/>
      <c r="AA25" s="84" t="s">
        <v>431</v>
      </c>
    </row>
    <row r="26" spans="1:27" x14ac:dyDescent="0.2">
      <c r="A26" s="2">
        <v>25569</v>
      </c>
      <c r="B26" s="84">
        <v>38.841999999999999</v>
      </c>
      <c r="C26" s="11">
        <f t="shared" si="0"/>
        <v>5.8855600686966714E-2</v>
      </c>
      <c r="N26" s="202"/>
      <c r="AA26" s="84" t="s">
        <v>420</v>
      </c>
    </row>
    <row r="27" spans="1:27" x14ac:dyDescent="0.2">
      <c r="A27" s="2">
        <v>25934</v>
      </c>
      <c r="B27" s="84">
        <v>40.482999999999997</v>
      </c>
      <c r="C27" s="11">
        <f t="shared" si="0"/>
        <v>4.2248081973121909E-2</v>
      </c>
      <c r="N27" s="202"/>
      <c r="AA27" s="84" t="s">
        <v>422</v>
      </c>
    </row>
    <row r="28" spans="1:27" x14ac:dyDescent="0.2">
      <c r="A28" s="2">
        <v>26299</v>
      </c>
      <c r="B28" s="84">
        <v>41.808</v>
      </c>
      <c r="C28" s="11">
        <f t="shared" si="0"/>
        <v>3.2729787812168176E-2</v>
      </c>
      <c r="N28" s="202"/>
      <c r="AA28" s="84" t="s">
        <v>416</v>
      </c>
    </row>
    <row r="29" spans="1:27" x14ac:dyDescent="0.2">
      <c r="A29" s="2">
        <v>26665</v>
      </c>
      <c r="B29" s="84">
        <v>44.424999999999997</v>
      </c>
      <c r="C29" s="11">
        <f t="shared" si="0"/>
        <v>6.2595675468809731E-2</v>
      </c>
      <c r="N29" s="202"/>
      <c r="AA29" s="84" t="s">
        <v>409</v>
      </c>
    </row>
    <row r="30" spans="1:27" x14ac:dyDescent="0.2">
      <c r="A30" s="2">
        <v>27030</v>
      </c>
      <c r="B30" s="84">
        <v>49.317</v>
      </c>
      <c r="C30" s="11">
        <f t="shared" si="0"/>
        <v>0.11011817670230739</v>
      </c>
      <c r="N30" s="202"/>
      <c r="AA30" s="84" t="s">
        <v>417</v>
      </c>
    </row>
    <row r="31" spans="1:27" x14ac:dyDescent="0.2">
      <c r="A31" s="2">
        <v>27395</v>
      </c>
      <c r="B31" s="84">
        <v>53.825000000000003</v>
      </c>
      <c r="C31" s="11">
        <f t="shared" si="0"/>
        <v>9.1408642050408551E-2</v>
      </c>
      <c r="N31" s="202"/>
      <c r="AA31" s="84" t="s">
        <v>416</v>
      </c>
    </row>
    <row r="32" spans="1:27" x14ac:dyDescent="0.2">
      <c r="A32" s="2">
        <v>27760</v>
      </c>
      <c r="B32" s="84">
        <v>56.933</v>
      </c>
      <c r="C32" s="11">
        <f t="shared" si="0"/>
        <v>5.7742684626103102E-2</v>
      </c>
      <c r="N32" s="202"/>
      <c r="AA32" s="84" t="s">
        <v>425</v>
      </c>
    </row>
    <row r="33" spans="1:27" x14ac:dyDescent="0.2">
      <c r="A33" s="2">
        <v>28126</v>
      </c>
      <c r="B33" s="84">
        <v>60.616999999999997</v>
      </c>
      <c r="C33" s="11">
        <f t="shared" si="0"/>
        <v>6.470763880350594E-2</v>
      </c>
      <c r="N33" s="202"/>
      <c r="AA33" s="84" t="s">
        <v>409</v>
      </c>
    </row>
    <row r="34" spans="1:27" x14ac:dyDescent="0.2">
      <c r="A34" s="2">
        <v>28491</v>
      </c>
      <c r="B34" s="84">
        <v>65.242000000000004</v>
      </c>
      <c r="C34" s="11">
        <f t="shared" si="0"/>
        <v>7.6298728079581712E-2</v>
      </c>
      <c r="N34" s="202"/>
      <c r="AA34" s="84" t="s">
        <v>430</v>
      </c>
    </row>
    <row r="35" spans="1:27" x14ac:dyDescent="0.2">
      <c r="A35" s="2">
        <v>28856</v>
      </c>
      <c r="B35" s="84">
        <v>72.582999999999998</v>
      </c>
      <c r="C35" s="11">
        <f t="shared" si="0"/>
        <v>0.11251954262591579</v>
      </c>
      <c r="N35" s="202"/>
      <c r="AA35" s="84" t="s">
        <v>435</v>
      </c>
    </row>
    <row r="36" spans="1:27" x14ac:dyDescent="0.2">
      <c r="A36" s="2">
        <v>29221</v>
      </c>
      <c r="B36" s="84">
        <v>82.382999999999996</v>
      </c>
      <c r="C36" s="11">
        <f t="shared" si="0"/>
        <v>0.13501784164336006</v>
      </c>
      <c r="N36" s="202"/>
      <c r="AA36" s="84" t="s">
        <v>436</v>
      </c>
    </row>
    <row r="37" spans="1:27" x14ac:dyDescent="0.2">
      <c r="A37" s="2">
        <v>29587</v>
      </c>
      <c r="B37" s="84">
        <v>90.933000000000007</v>
      </c>
      <c r="C37" s="11">
        <f t="shared" si="0"/>
        <v>0.10378354757656316</v>
      </c>
      <c r="N37" s="202"/>
      <c r="AA37" s="84" t="s">
        <v>437</v>
      </c>
    </row>
    <row r="38" spans="1:27" x14ac:dyDescent="0.2">
      <c r="A38" s="2">
        <v>29952</v>
      </c>
      <c r="B38" s="84">
        <v>96.533000000000001</v>
      </c>
      <c r="C38" s="11">
        <f t="shared" si="0"/>
        <v>6.1583803459690056E-2</v>
      </c>
      <c r="N38" s="202"/>
      <c r="AA38" s="84" t="s">
        <v>438</v>
      </c>
    </row>
    <row r="39" spans="1:27" x14ac:dyDescent="0.2">
      <c r="A39" s="2">
        <v>30317</v>
      </c>
      <c r="B39" s="84">
        <v>99.582999999999998</v>
      </c>
      <c r="C39" s="11">
        <f t="shared" si="0"/>
        <v>3.1595412967586167E-2</v>
      </c>
      <c r="N39" s="202"/>
      <c r="AA39" s="84" t="s">
        <v>434</v>
      </c>
    </row>
    <row r="40" spans="1:27" x14ac:dyDescent="0.2">
      <c r="A40" s="2">
        <v>30682</v>
      </c>
      <c r="B40" s="84">
        <v>103.93300000000001</v>
      </c>
      <c r="C40" s="11">
        <f t="shared" si="0"/>
        <v>4.3682154584617994E-2</v>
      </c>
      <c r="N40" s="202"/>
      <c r="AA40" s="84" t="s">
        <v>432</v>
      </c>
    </row>
    <row r="41" spans="1:27" x14ac:dyDescent="0.2">
      <c r="A41" s="2">
        <v>31048</v>
      </c>
      <c r="B41" s="84">
        <v>107.6</v>
      </c>
      <c r="C41" s="11">
        <f t="shared" si="0"/>
        <v>3.5282345357104949E-2</v>
      </c>
      <c r="N41" s="202"/>
      <c r="AA41" s="84" t="s">
        <v>440</v>
      </c>
    </row>
    <row r="42" spans="1:27" x14ac:dyDescent="0.2">
      <c r="A42" s="2">
        <v>31413</v>
      </c>
      <c r="B42" s="84">
        <v>109.69199999999999</v>
      </c>
      <c r="C42" s="11">
        <f t="shared" si="0"/>
        <v>1.9442379182156078E-2</v>
      </c>
      <c r="N42" s="202"/>
      <c r="AA42" s="84" t="s">
        <v>441</v>
      </c>
    </row>
    <row r="43" spans="1:27" x14ac:dyDescent="0.2">
      <c r="A43" s="2">
        <v>31778</v>
      </c>
      <c r="B43" s="84">
        <v>113.617</v>
      </c>
      <c r="C43" s="11">
        <f t="shared" si="0"/>
        <v>3.5782007803668581E-2</v>
      </c>
      <c r="N43" s="202"/>
      <c r="AA43" s="84" t="s">
        <v>411</v>
      </c>
    </row>
    <row r="44" spans="1:27" x14ac:dyDescent="0.2">
      <c r="A44" s="2">
        <v>32143</v>
      </c>
      <c r="B44" s="84">
        <v>118.27500000000001</v>
      </c>
      <c r="C44" s="11">
        <f t="shared" si="0"/>
        <v>4.0997385954566701E-2</v>
      </c>
      <c r="N44" s="202"/>
      <c r="AA44" s="84" t="s">
        <v>410</v>
      </c>
    </row>
    <row r="45" spans="1:27" x14ac:dyDescent="0.2">
      <c r="A45" s="2">
        <v>32509</v>
      </c>
      <c r="B45" s="84">
        <v>123.94199999999999</v>
      </c>
      <c r="C45" s="11">
        <f t="shared" si="0"/>
        <v>4.791376030437533E-2</v>
      </c>
      <c r="N45" s="202"/>
      <c r="AA45" s="84" t="s">
        <v>424</v>
      </c>
    </row>
    <row r="46" spans="1:27" x14ac:dyDescent="0.2">
      <c r="A46" s="2">
        <v>32874</v>
      </c>
      <c r="B46" s="84">
        <v>130.65799999999999</v>
      </c>
      <c r="C46" s="11">
        <f t="shared" si="0"/>
        <v>5.4186635684432938E-2</v>
      </c>
      <c r="N46" s="202"/>
      <c r="AA46" s="84" t="s">
        <v>433</v>
      </c>
    </row>
    <row r="47" spans="1:27" x14ac:dyDescent="0.2">
      <c r="A47" s="2">
        <v>33239</v>
      </c>
      <c r="B47" s="84">
        <v>136.167</v>
      </c>
      <c r="C47" s="11">
        <f t="shared" si="0"/>
        <v>4.2163510845107277E-2</v>
      </c>
      <c r="N47" s="202"/>
      <c r="AA47" s="84" t="s">
        <v>439</v>
      </c>
    </row>
    <row r="48" spans="1:27" x14ac:dyDescent="0.2">
      <c r="A48" s="2">
        <v>33604</v>
      </c>
      <c r="B48" s="84">
        <v>140.30799999999999</v>
      </c>
      <c r="C48" s="11">
        <f t="shared" si="0"/>
        <v>3.0411186263925805E-2</v>
      </c>
      <c r="N48" s="202"/>
      <c r="AA48" s="84" t="s">
        <v>424</v>
      </c>
    </row>
    <row r="49" spans="1:27" x14ac:dyDescent="0.2">
      <c r="A49" s="2">
        <v>33970</v>
      </c>
      <c r="B49" s="84">
        <v>144.47499999999999</v>
      </c>
      <c r="C49" s="11">
        <f t="shared" si="0"/>
        <v>2.9698948028622718E-2</v>
      </c>
      <c r="N49" s="202"/>
      <c r="AA49" s="84" t="s">
        <v>411</v>
      </c>
    </row>
    <row r="50" spans="1:27" x14ac:dyDescent="0.2">
      <c r="A50" s="2">
        <v>34335</v>
      </c>
      <c r="B50" s="84">
        <v>148.22499999999999</v>
      </c>
      <c r="C50" s="11">
        <f t="shared" si="0"/>
        <v>2.5956047759127854E-2</v>
      </c>
      <c r="N50" s="202"/>
      <c r="AA50" s="84" t="s">
        <v>418</v>
      </c>
    </row>
    <row r="51" spans="1:27" x14ac:dyDescent="0.2">
      <c r="A51" s="2">
        <v>34700</v>
      </c>
      <c r="B51" s="84">
        <v>152.38300000000001</v>
      </c>
      <c r="C51" s="11">
        <f t="shared" si="0"/>
        <v>2.8051948051948106E-2</v>
      </c>
      <c r="N51" s="202"/>
      <c r="AA51" s="84" t="s">
        <v>429</v>
      </c>
    </row>
    <row r="52" spans="1:27" x14ac:dyDescent="0.2">
      <c r="A52" s="2">
        <v>35065</v>
      </c>
      <c r="B52" s="84">
        <v>156.858</v>
      </c>
      <c r="C52" s="11">
        <f t="shared" si="0"/>
        <v>2.9366792883720683E-2</v>
      </c>
      <c r="N52" s="202"/>
      <c r="AA52" s="84" t="s">
        <v>423</v>
      </c>
    </row>
    <row r="53" spans="1:27" x14ac:dyDescent="0.2">
      <c r="A53" s="2">
        <v>35431</v>
      </c>
      <c r="B53" s="84">
        <v>160.52500000000001</v>
      </c>
      <c r="C53" s="11">
        <f t="shared" si="0"/>
        <v>2.3377832179423352E-2</v>
      </c>
      <c r="N53" s="202"/>
      <c r="AA53" s="84" t="s">
        <v>429</v>
      </c>
    </row>
    <row r="54" spans="1:27" x14ac:dyDescent="0.2">
      <c r="A54" s="2">
        <v>35796</v>
      </c>
      <c r="B54" s="84">
        <v>163.00800000000001</v>
      </c>
      <c r="C54" s="11">
        <f t="shared" si="0"/>
        <v>1.5467995639308452E-2</v>
      </c>
      <c r="N54" s="202"/>
      <c r="AA54" s="84" t="s">
        <v>429</v>
      </c>
    </row>
    <row r="55" spans="1:27" x14ac:dyDescent="0.2">
      <c r="A55" s="2">
        <v>36161</v>
      </c>
      <c r="B55" s="84">
        <v>166.583</v>
      </c>
      <c r="C55" s="11">
        <f t="shared" si="0"/>
        <v>2.1931438947781601E-2</v>
      </c>
      <c r="N55" s="202"/>
      <c r="AA55" s="84" t="s">
        <v>442</v>
      </c>
    </row>
    <row r="56" spans="1:27" x14ac:dyDescent="0.2">
      <c r="A56" s="2">
        <v>36526</v>
      </c>
      <c r="B56" s="84">
        <v>172.19200000000001</v>
      </c>
      <c r="C56" s="11">
        <f t="shared" si="0"/>
        <v>3.3670902793202284E-2</v>
      </c>
      <c r="N56" s="202"/>
      <c r="AA56" s="84" t="s">
        <v>423</v>
      </c>
    </row>
    <row r="57" spans="1:27" x14ac:dyDescent="0.2">
      <c r="A57" s="2">
        <v>36892</v>
      </c>
      <c r="B57" s="84">
        <v>177.042</v>
      </c>
      <c r="C57" s="11">
        <f t="shared" si="0"/>
        <v>2.8166233042185462E-2</v>
      </c>
      <c r="N57" s="202"/>
      <c r="AA57" s="84" t="s">
        <v>443</v>
      </c>
    </row>
    <row r="58" spans="1:27" x14ac:dyDescent="0.2">
      <c r="A58" s="2">
        <v>37257</v>
      </c>
      <c r="B58" s="84">
        <v>179.86699999999999</v>
      </c>
      <c r="C58" s="11">
        <f t="shared" si="0"/>
        <v>1.595666564995879E-2</v>
      </c>
      <c r="N58" s="202"/>
      <c r="AA58" s="84" t="s">
        <v>415</v>
      </c>
    </row>
    <row r="59" spans="1:27" x14ac:dyDescent="0.2">
      <c r="A59" s="2">
        <v>37622</v>
      </c>
      <c r="B59" s="84">
        <v>184</v>
      </c>
      <c r="C59" s="11">
        <f t="shared" si="0"/>
        <v>2.2978089366031629E-2</v>
      </c>
      <c r="N59" s="202"/>
    </row>
    <row r="60" spans="1:27" x14ac:dyDescent="0.2">
      <c r="A60" s="2">
        <v>37987</v>
      </c>
      <c r="B60" s="84">
        <v>188.90799999999999</v>
      </c>
      <c r="C60" s="11">
        <f t="shared" si="0"/>
        <v>2.6673913043478104E-2</v>
      </c>
      <c r="N60" s="202"/>
    </row>
    <row r="61" spans="1:27" x14ac:dyDescent="0.2">
      <c r="A61" s="2">
        <v>38353</v>
      </c>
      <c r="B61" s="84">
        <v>195.267</v>
      </c>
      <c r="C61" s="11">
        <f t="shared" si="0"/>
        <v>3.3661888326592893E-2</v>
      </c>
      <c r="N61" s="202"/>
    </row>
    <row r="62" spans="1:27" x14ac:dyDescent="0.2">
      <c r="A62" s="2">
        <v>38718</v>
      </c>
      <c r="B62" s="84">
        <v>201.55799999999999</v>
      </c>
      <c r="C62" s="11">
        <f t="shared" si="0"/>
        <v>3.2217425371414476E-2</v>
      </c>
      <c r="N62" s="202"/>
    </row>
    <row r="63" spans="1:27" x14ac:dyDescent="0.2">
      <c r="A63" s="2">
        <v>39083</v>
      </c>
      <c r="B63" s="84">
        <v>207.34399999999999</v>
      </c>
      <c r="C63" s="11">
        <f t="shared" si="0"/>
        <v>2.8706377320671939E-2</v>
      </c>
      <c r="N63" s="202"/>
    </row>
    <row r="64" spans="1:27" x14ac:dyDescent="0.2">
      <c r="A64" s="2">
        <v>39448</v>
      </c>
      <c r="B64" s="84">
        <v>215.25399999999999</v>
      </c>
      <c r="C64" s="11">
        <f t="shared" si="0"/>
        <v>3.81491627440389E-2</v>
      </c>
      <c r="N64" s="202"/>
    </row>
    <row r="65" spans="1:14" x14ac:dyDescent="0.2">
      <c r="A65" s="2">
        <v>39814</v>
      </c>
      <c r="B65" s="84">
        <v>214.56700000000001</v>
      </c>
      <c r="C65" s="11">
        <f t="shared" si="0"/>
        <v>-3.1915783214248039E-3</v>
      </c>
      <c r="N65" s="202"/>
    </row>
    <row r="66" spans="1:14" x14ac:dyDescent="0.2">
      <c r="A66" s="2">
        <v>40179</v>
      </c>
      <c r="B66" s="84">
        <v>218.08500000000001</v>
      </c>
      <c r="C66" s="11">
        <f t="shared" si="0"/>
        <v>1.6395811098631308E-2</v>
      </c>
      <c r="N66" s="202"/>
    </row>
    <row r="67" spans="1:14" x14ac:dyDescent="0.2">
      <c r="A67" s="2">
        <v>40544</v>
      </c>
      <c r="B67" s="84">
        <v>224.935</v>
      </c>
      <c r="C67" s="11">
        <f t="shared" si="0"/>
        <v>3.1409771419400601E-2</v>
      </c>
      <c r="N67" s="202"/>
    </row>
    <row r="68" spans="1:14" x14ac:dyDescent="0.2">
      <c r="A68" s="2">
        <v>40909</v>
      </c>
      <c r="B68" s="84">
        <v>229.60400000000001</v>
      </c>
      <c r="C68" s="11">
        <f t="shared" si="0"/>
        <v>2.0757107608864844E-2</v>
      </c>
      <c r="N68" s="202"/>
    </row>
    <row r="69" spans="1:14" x14ac:dyDescent="0.2">
      <c r="A69" s="2">
        <v>41275</v>
      </c>
      <c r="B69" s="84">
        <v>232.71700000000001</v>
      </c>
      <c r="C69" s="11">
        <f t="shared" ref="C69" si="1">B69/B68-1</f>
        <v>1.3558126165049478E-2</v>
      </c>
      <c r="N69" s="202"/>
    </row>
  </sheetData>
  <mergeCells count="1">
    <mergeCell ref="A1:K1"/>
  </mergeCells>
  <hyperlinks>
    <hyperlink ref="P1" r:id="rId1"/>
  </hyperlinks>
  <printOptions headings="1" gridLines="1"/>
  <pageMargins left="0.70866141732283505" right="0.70866141732283505" top="0.74803149606299202" bottom="0.74803149606299202" header="0.31496062992126" footer="0.31496062992126"/>
  <pageSetup orientation="portrait" cellComments="atEnd" r:id="rId2"/>
  <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workbookViewId="0">
      <selection activeCell="B9" sqref="B9"/>
    </sheetView>
  </sheetViews>
  <sheetFormatPr defaultRowHeight="12.75" x14ac:dyDescent="0.2"/>
  <cols>
    <col min="1" max="1" width="39.140625" bestFit="1" customWidth="1"/>
    <col min="3" max="3" width="14.42578125" bestFit="1" customWidth="1"/>
  </cols>
  <sheetData>
    <row r="1" spans="1:3" ht="15" x14ac:dyDescent="0.25">
      <c r="A1" s="258" t="s">
        <v>451</v>
      </c>
      <c r="B1" s="258"/>
      <c r="C1" s="258"/>
    </row>
    <row r="2" spans="1:3" x14ac:dyDescent="0.2">
      <c r="A2" t="s">
        <v>447</v>
      </c>
      <c r="B2" s="11">
        <v>3.6200000000000003E-2</v>
      </c>
    </row>
    <row r="3" spans="1:3" x14ac:dyDescent="0.2">
      <c r="A3" t="s">
        <v>452</v>
      </c>
      <c r="B3" s="11">
        <f>(1+B2)^10-1</f>
        <v>0.42703912244166276</v>
      </c>
      <c r="C3" t="e">
        <f ca="1">getformula(B3)</f>
        <v>#NAME?</v>
      </c>
    </row>
    <row r="4" spans="1:3" x14ac:dyDescent="0.2">
      <c r="A4" t="s">
        <v>453</v>
      </c>
      <c r="B4" s="11">
        <f>1/(1+B2)^10</f>
        <v>0.70075163621933567</v>
      </c>
      <c r="C4" t="e">
        <f ca="1">getformula(B4)</f>
        <v>#NAME?</v>
      </c>
    </row>
  </sheetData>
  <mergeCells count="1">
    <mergeCell ref="A1:C1"/>
  </mergeCells>
  <pageMargins left="0.7" right="0.7" top="0.75" bottom="0.75" header="0.3" footer="0.3"/>
  <pageSetup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D16" sqref="D16"/>
    </sheetView>
  </sheetViews>
  <sheetFormatPr defaultRowHeight="12.75" x14ac:dyDescent="0.2"/>
  <cols>
    <col min="1" max="1" width="25.42578125" bestFit="1" customWidth="1"/>
    <col min="2" max="2" width="6.28515625" bestFit="1" customWidth="1"/>
    <col min="3" max="3" width="7.28515625" bestFit="1" customWidth="1"/>
    <col min="4" max="4" width="14" bestFit="1" customWidth="1"/>
  </cols>
  <sheetData>
    <row r="1" spans="1:4" x14ac:dyDescent="0.2">
      <c r="A1" s="266" t="s">
        <v>454</v>
      </c>
      <c r="B1" s="266"/>
      <c r="C1" s="266"/>
      <c r="D1" s="266"/>
    </row>
    <row r="2" spans="1:4" x14ac:dyDescent="0.2">
      <c r="B2" s="8" t="s">
        <v>455</v>
      </c>
      <c r="C2" s="8" t="s">
        <v>456</v>
      </c>
    </row>
    <row r="3" spans="1:4" x14ac:dyDescent="0.2">
      <c r="A3" t="s">
        <v>457</v>
      </c>
      <c r="B3">
        <v>-100</v>
      </c>
      <c r="C3">
        <v>120</v>
      </c>
    </row>
    <row r="4" spans="1:4" x14ac:dyDescent="0.2">
      <c r="A4" t="s">
        <v>458</v>
      </c>
      <c r="B4">
        <v>131</v>
      </c>
      <c r="C4">
        <v>138</v>
      </c>
    </row>
    <row r="6" spans="1:4" x14ac:dyDescent="0.2">
      <c r="A6" t="s">
        <v>459</v>
      </c>
      <c r="C6" s="11">
        <f>C4/B4-1</f>
        <v>5.3435114503816772E-2</v>
      </c>
      <c r="D6" t="e">
        <f ca="1">getformula(C6)</f>
        <v>#NAME?</v>
      </c>
    </row>
    <row r="8" spans="1:4" x14ac:dyDescent="0.2">
      <c r="A8" t="s">
        <v>460</v>
      </c>
      <c r="B8">
        <f>B3</f>
        <v>-100</v>
      </c>
      <c r="C8" s="204">
        <f>C3*B4/C4</f>
        <v>113.91304347826087</v>
      </c>
      <c r="D8" t="e">
        <f ca="1">getformula(C8)</f>
        <v>#NAME?</v>
      </c>
    </row>
    <row r="10" spans="1:4" x14ac:dyDescent="0.2">
      <c r="A10" t="s">
        <v>461</v>
      </c>
      <c r="C10" s="11">
        <f>IRR(B3:C3)</f>
        <v>0.20000000000000018</v>
      </c>
      <c r="D10" t="e">
        <f ca="1">getformula(C10)</f>
        <v>#NAME?</v>
      </c>
    </row>
    <row r="11" spans="1:4" x14ac:dyDescent="0.2">
      <c r="A11" t="s">
        <v>462</v>
      </c>
      <c r="C11" s="11">
        <f>IRR(B8:C8)</f>
        <v>0.13913043478260856</v>
      </c>
      <c r="D11" t="e">
        <f ca="1">getformula(C11)</f>
        <v>#NAME?</v>
      </c>
    </row>
  </sheetData>
  <mergeCells count="1">
    <mergeCell ref="A1:D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workbookViewId="0">
      <selection activeCell="A19" sqref="A19"/>
    </sheetView>
  </sheetViews>
  <sheetFormatPr defaultColWidth="8.85546875" defaultRowHeight="12.75" x14ac:dyDescent="0.2"/>
  <cols>
    <col min="1" max="1" width="10.85546875" style="28" bestFit="1" customWidth="1"/>
    <col min="2" max="2" width="9" style="84" bestFit="1" customWidth="1"/>
    <col min="3" max="3" width="15" style="28" bestFit="1" customWidth="1"/>
    <col min="4" max="4" width="10.5703125" style="84" bestFit="1" customWidth="1"/>
    <col min="5" max="5" width="14.42578125" style="84" bestFit="1" customWidth="1"/>
    <col min="6" max="6" width="6.85546875" style="28" bestFit="1" customWidth="1"/>
    <col min="7" max="7" width="15.5703125" style="84" bestFit="1" customWidth="1"/>
    <col min="8" max="16384" width="8.85546875" style="84"/>
  </cols>
  <sheetData>
    <row r="1" spans="1:7" x14ac:dyDescent="0.2">
      <c r="A1" s="266" t="s">
        <v>463</v>
      </c>
      <c r="B1" s="266"/>
      <c r="C1" s="266"/>
      <c r="D1" s="266"/>
      <c r="E1" s="266"/>
      <c r="F1" s="266"/>
      <c r="G1" s="266"/>
    </row>
    <row r="2" spans="1:7" s="14" customFormat="1" ht="38.25" x14ac:dyDescent="0.2">
      <c r="A2" s="4" t="s">
        <v>1</v>
      </c>
      <c r="B2" s="4" t="s">
        <v>457</v>
      </c>
      <c r="C2" s="4" t="s">
        <v>405</v>
      </c>
      <c r="D2" s="4" t="s">
        <v>464</v>
      </c>
      <c r="F2" s="4" t="s">
        <v>465</v>
      </c>
      <c r="G2" s="205" t="s">
        <v>466</v>
      </c>
    </row>
    <row r="3" spans="1:7" x14ac:dyDescent="0.2">
      <c r="A3" s="28">
        <v>2000</v>
      </c>
      <c r="B3" s="207">
        <v>-1000</v>
      </c>
      <c r="C3" s="208">
        <v>172.19200000000001</v>
      </c>
      <c r="F3" s="28">
        <f>B3</f>
        <v>-1000</v>
      </c>
    </row>
    <row r="4" spans="1:7" x14ac:dyDescent="0.2">
      <c r="A4" s="28">
        <v>2001</v>
      </c>
      <c r="B4" s="206">
        <v>150</v>
      </c>
      <c r="C4" s="208">
        <v>177.042</v>
      </c>
      <c r="D4" s="11">
        <f>C4/$C$3-1</f>
        <v>2.8166233042185462E-2</v>
      </c>
      <c r="E4" s="84" t="e">
        <f ca="1">getformula(D4)</f>
        <v>#NAME?</v>
      </c>
      <c r="F4" s="208">
        <f>B4/(1+D4)</f>
        <v>145.8908055715593</v>
      </c>
      <c r="G4" s="84" t="e">
        <f ca="1">getformula(F4)</f>
        <v>#NAME?</v>
      </c>
    </row>
    <row r="5" spans="1:7" x14ac:dyDescent="0.2">
      <c r="A5" s="28">
        <v>2002</v>
      </c>
      <c r="B5" s="206">
        <v>150</v>
      </c>
      <c r="C5" s="208">
        <v>179.86699999999999</v>
      </c>
      <c r="D5" s="11">
        <f t="shared" ref="D5:D16" si="0">C5/$C$3-1</f>
        <v>4.4572337855417032E-2</v>
      </c>
      <c r="E5" s="84" t="e">
        <f ca="1">getformula(D5)</f>
        <v>#NAME?</v>
      </c>
      <c r="F5" s="208">
        <f t="shared" ref="F5:F16" si="1">B5/(1+D5)</f>
        <v>143.59943736205088</v>
      </c>
      <c r="G5" s="84" t="e">
        <f ca="1">getformula(F5)</f>
        <v>#NAME?</v>
      </c>
    </row>
    <row r="6" spans="1:7" x14ac:dyDescent="0.2">
      <c r="A6" s="28">
        <v>2003</v>
      </c>
      <c r="B6" s="206">
        <v>150</v>
      </c>
      <c r="C6" s="208">
        <v>184</v>
      </c>
      <c r="D6" s="11">
        <f t="shared" si="0"/>
        <v>6.8574614383943411E-2</v>
      </c>
      <c r="E6" s="84" t="e">
        <f ca="1">getformula(D6)</f>
        <v>#NAME?</v>
      </c>
      <c r="F6" s="208">
        <f t="shared" si="1"/>
        <v>140.37391304347827</v>
      </c>
    </row>
    <row r="7" spans="1:7" x14ac:dyDescent="0.2">
      <c r="A7" s="28">
        <v>2004</v>
      </c>
      <c r="B7" s="206">
        <v>150</v>
      </c>
      <c r="C7" s="208">
        <v>188.90799999999999</v>
      </c>
      <c r="D7" s="11">
        <f t="shared" si="0"/>
        <v>9.7077680728488991E-2</v>
      </c>
      <c r="F7" s="208">
        <f t="shared" si="1"/>
        <v>136.72687233997505</v>
      </c>
    </row>
    <row r="8" spans="1:7" x14ac:dyDescent="0.2">
      <c r="A8" s="28">
        <v>2005</v>
      </c>
      <c r="B8" s="206">
        <v>150</v>
      </c>
      <c r="C8" s="208">
        <v>195.267</v>
      </c>
      <c r="D8" s="11">
        <f t="shared" si="0"/>
        <v>0.13400738710276894</v>
      </c>
      <c r="F8" s="208">
        <f t="shared" si="1"/>
        <v>132.27427061408227</v>
      </c>
    </row>
    <row r="9" spans="1:7" x14ac:dyDescent="0.2">
      <c r="A9" s="28">
        <v>2006</v>
      </c>
      <c r="B9" s="206">
        <v>150</v>
      </c>
      <c r="C9" s="208">
        <v>201.55799999999999</v>
      </c>
      <c r="D9" s="11">
        <f t="shared" si="0"/>
        <v>0.1705421854673852</v>
      </c>
      <c r="F9" s="208">
        <f t="shared" si="1"/>
        <v>128.14574464918286</v>
      </c>
    </row>
    <row r="10" spans="1:7" x14ac:dyDescent="0.2">
      <c r="A10" s="28">
        <v>2007</v>
      </c>
      <c r="B10" s="206">
        <v>150</v>
      </c>
      <c r="C10" s="208">
        <v>207.34399999999999</v>
      </c>
      <c r="D10" s="11">
        <f t="shared" si="0"/>
        <v>0.20414421111317593</v>
      </c>
      <c r="F10" s="208">
        <f t="shared" si="1"/>
        <v>124.5697970522417</v>
      </c>
    </row>
    <row r="11" spans="1:7" x14ac:dyDescent="0.2">
      <c r="A11" s="28">
        <v>2008</v>
      </c>
      <c r="B11" s="206">
        <v>150</v>
      </c>
      <c r="C11" s="208">
        <v>215.25399999999999</v>
      </c>
      <c r="D11" s="11">
        <f t="shared" si="0"/>
        <v>0.25008130459022482</v>
      </c>
      <c r="F11" s="208">
        <f t="shared" si="1"/>
        <v>119.99219526698691</v>
      </c>
    </row>
    <row r="12" spans="1:7" x14ac:dyDescent="0.2">
      <c r="A12" s="28">
        <v>2009</v>
      </c>
      <c r="B12" s="206">
        <v>150</v>
      </c>
      <c r="C12" s="208">
        <v>214.565</v>
      </c>
      <c r="D12" s="11">
        <f t="shared" si="0"/>
        <v>0.24607995725701537</v>
      </c>
      <c r="F12" s="208">
        <f t="shared" si="1"/>
        <v>120.37750798126443</v>
      </c>
    </row>
    <row r="13" spans="1:7" x14ac:dyDescent="0.2">
      <c r="A13" s="28">
        <v>2010</v>
      </c>
      <c r="B13" s="206">
        <v>150</v>
      </c>
      <c r="C13" s="208">
        <v>218.08</v>
      </c>
      <c r="D13" s="11">
        <f t="shared" si="0"/>
        <v>0.26649321687418692</v>
      </c>
      <c r="F13" s="208">
        <f t="shared" si="1"/>
        <v>118.43727072633897</v>
      </c>
    </row>
    <row r="14" spans="1:7" x14ac:dyDescent="0.2">
      <c r="A14" s="28">
        <v>2011</v>
      </c>
      <c r="B14" s="206">
        <v>150</v>
      </c>
      <c r="C14" s="208">
        <v>224.93199999999999</v>
      </c>
      <c r="D14" s="11">
        <f t="shared" si="0"/>
        <v>0.30628600631852798</v>
      </c>
      <c r="F14" s="208">
        <f t="shared" si="1"/>
        <v>114.82937065424218</v>
      </c>
    </row>
    <row r="15" spans="1:7" x14ac:dyDescent="0.2">
      <c r="A15" s="28">
        <v>2012</v>
      </c>
      <c r="B15" s="206">
        <v>150</v>
      </c>
      <c r="C15" s="208">
        <v>229.59899999999999</v>
      </c>
      <c r="D15" s="11">
        <f t="shared" si="0"/>
        <v>0.33338947221705983</v>
      </c>
      <c r="F15" s="208">
        <f t="shared" si="1"/>
        <v>112.49526348111274</v>
      </c>
    </row>
    <row r="16" spans="1:7" x14ac:dyDescent="0.2">
      <c r="A16" s="28">
        <v>2013</v>
      </c>
      <c r="B16" s="207">
        <v>1150</v>
      </c>
      <c r="C16" s="208">
        <v>232.96</v>
      </c>
      <c r="D16" s="11">
        <f t="shared" si="0"/>
        <v>0.35290838134175795</v>
      </c>
      <c r="E16" s="84" t="e">
        <f ca="1">getformula(D16)</f>
        <v>#NAME?</v>
      </c>
      <c r="F16" s="208">
        <f t="shared" si="1"/>
        <v>850.02060439560444</v>
      </c>
      <c r="G16" s="84" t="e">
        <f ca="1">getformula(F16)</f>
        <v>#NAME?</v>
      </c>
    </row>
    <row r="18" spans="1:7" x14ac:dyDescent="0.2">
      <c r="A18" s="209" t="s">
        <v>467</v>
      </c>
      <c r="B18" s="212">
        <f>IRR(B3:B16)</f>
        <v>0.14999999999999991</v>
      </c>
      <c r="C18" s="28" t="e">
        <f ca="1">getformula(B18)</f>
        <v>#NAME?</v>
      </c>
      <c r="E18" s="210" t="s">
        <v>468</v>
      </c>
      <c r="F18" s="211">
        <f>IRR(F3:F16)</f>
        <v>0.12251283970472882</v>
      </c>
      <c r="G18" s="28" t="e">
        <f ca="1">getformula(F18)</f>
        <v>#NAME?</v>
      </c>
    </row>
  </sheetData>
  <mergeCells count="1">
    <mergeCell ref="A1:G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C15"/>
  <sheetViews>
    <sheetView workbookViewId="0">
      <selection activeCell="B9" sqref="B9"/>
    </sheetView>
  </sheetViews>
  <sheetFormatPr defaultColWidth="8.7109375" defaultRowHeight="12.75" x14ac:dyDescent="0.2"/>
  <cols>
    <col min="1" max="1" width="43.5703125" style="174" customWidth="1"/>
    <col min="2" max="2" width="9.28515625" style="174" bestFit="1" customWidth="1"/>
    <col min="3" max="3" width="20.85546875" style="174" bestFit="1" customWidth="1"/>
    <col min="4" max="16384" width="8.7109375" style="174"/>
  </cols>
  <sheetData>
    <row r="1" spans="1:3" ht="39" customHeight="1" x14ac:dyDescent="0.2">
      <c r="A1" s="273" t="s">
        <v>348</v>
      </c>
      <c r="B1" s="273"/>
      <c r="C1" s="273"/>
    </row>
    <row r="2" spans="1:3" x14ac:dyDescent="0.2">
      <c r="A2" s="174" t="s">
        <v>349</v>
      </c>
      <c r="B2" s="175">
        <v>1000</v>
      </c>
    </row>
    <row r="3" spans="1:3" x14ac:dyDescent="0.2">
      <c r="A3" s="174" t="s">
        <v>350</v>
      </c>
      <c r="B3" s="176">
        <v>0.04</v>
      </c>
    </row>
    <row r="4" spans="1:3" x14ac:dyDescent="0.2">
      <c r="A4" s="174" t="s">
        <v>351</v>
      </c>
      <c r="B4" s="174">
        <v>120</v>
      </c>
    </row>
    <row r="5" spans="1:3" x14ac:dyDescent="0.2">
      <c r="A5" s="174" t="s">
        <v>352</v>
      </c>
      <c r="B5" s="174">
        <v>126</v>
      </c>
    </row>
    <row r="7" spans="1:3" x14ac:dyDescent="0.2">
      <c r="A7" s="174" t="s">
        <v>353</v>
      </c>
      <c r="B7" s="177">
        <f>B2*(B5/B4)*(1+B3)</f>
        <v>1092</v>
      </c>
      <c r="C7" s="174" t="e">
        <f ca="1">getformula(B7)</f>
        <v>#NAME?</v>
      </c>
    </row>
    <row r="9" spans="1:3" x14ac:dyDescent="0.2">
      <c r="A9" s="178" t="s">
        <v>354</v>
      </c>
    </row>
    <row r="10" spans="1:3" x14ac:dyDescent="0.2">
      <c r="A10" s="174" t="s">
        <v>355</v>
      </c>
      <c r="B10" s="20">
        <f>B5/B4-1</f>
        <v>5.0000000000000044E-2</v>
      </c>
      <c r="C10" s="174" t="e">
        <f ca="1">getformula(B10)</f>
        <v>#NAME?</v>
      </c>
    </row>
    <row r="11" spans="1:3" x14ac:dyDescent="0.2">
      <c r="A11" s="174" t="s">
        <v>356</v>
      </c>
      <c r="B11" s="177">
        <f>B2*(1+B10)</f>
        <v>1050</v>
      </c>
      <c r="C11" s="174" t="e">
        <f ca="1">getformula(B11)</f>
        <v>#NAME?</v>
      </c>
    </row>
    <row r="12" spans="1:3" x14ac:dyDescent="0.2">
      <c r="A12" s="174" t="s">
        <v>357</v>
      </c>
      <c r="B12" s="179">
        <f>B3*B11</f>
        <v>42</v>
      </c>
      <c r="C12" s="174" t="e">
        <f ca="1">getformula(B12)</f>
        <v>#NAME?</v>
      </c>
    </row>
    <row r="13" spans="1:3" x14ac:dyDescent="0.2">
      <c r="A13" s="174" t="s">
        <v>358</v>
      </c>
      <c r="B13" s="180">
        <f>B12+B11</f>
        <v>1092</v>
      </c>
      <c r="C13" s="174" t="e">
        <f ca="1">getformula(B13)</f>
        <v>#NAME?</v>
      </c>
    </row>
    <row r="15" spans="1:3" ht="25.5" x14ac:dyDescent="0.2">
      <c r="A15" s="181" t="s">
        <v>359</v>
      </c>
      <c r="B15" s="29">
        <f>B12/B11</f>
        <v>0.04</v>
      </c>
      <c r="C15" s="174" t="e">
        <f ca="1">getformula(B15)</f>
        <v>#NAME?</v>
      </c>
    </row>
  </sheetData>
  <mergeCells count="1">
    <mergeCell ref="A1:C1"/>
  </mergeCells>
  <printOptions headings="1" gridLines="1"/>
  <pageMargins left="0.75" right="0.75" top="1" bottom="1" header="0.5" footer="0.5"/>
  <pageSetup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C19"/>
  <sheetViews>
    <sheetView workbookViewId="0">
      <selection sqref="A1:C1"/>
    </sheetView>
  </sheetViews>
  <sheetFormatPr defaultColWidth="8.7109375" defaultRowHeight="12.75" x14ac:dyDescent="0.2"/>
  <cols>
    <col min="1" max="1" width="45.5703125" style="174" customWidth="1"/>
    <col min="2" max="2" width="9.28515625" style="174" bestFit="1" customWidth="1"/>
    <col min="3" max="3" width="25.85546875" style="174" bestFit="1" customWidth="1"/>
    <col min="4" max="16384" width="8.7109375" style="174"/>
  </cols>
  <sheetData>
    <row r="1" spans="1:3" ht="39" customHeight="1" x14ac:dyDescent="0.25">
      <c r="A1" s="274" t="s">
        <v>360</v>
      </c>
      <c r="B1" s="274"/>
      <c r="C1" s="274"/>
    </row>
    <row r="3" spans="1:3" x14ac:dyDescent="0.2">
      <c r="A3" s="174" t="s">
        <v>349</v>
      </c>
      <c r="B3" s="175">
        <v>1000</v>
      </c>
    </row>
    <row r="4" spans="1:3" x14ac:dyDescent="0.2">
      <c r="A4" s="174" t="s">
        <v>350</v>
      </c>
      <c r="B4" s="176">
        <v>0.04</v>
      </c>
    </row>
    <row r="5" spans="1:3" x14ac:dyDescent="0.2">
      <c r="A5" s="174" t="s">
        <v>361</v>
      </c>
      <c r="B5" s="176">
        <v>0.03</v>
      </c>
    </row>
    <row r="7" spans="1:3" x14ac:dyDescent="0.2">
      <c r="A7" s="174" t="s">
        <v>362</v>
      </c>
      <c r="B7" s="177">
        <f>B3*(1+B5)^10*(1+B4)^10</f>
        <v>1989.3245399322905</v>
      </c>
      <c r="C7" s="174" t="e">
        <f ca="1">getformula(B7)</f>
        <v>#NAME?</v>
      </c>
    </row>
    <row r="9" spans="1:3" x14ac:dyDescent="0.2">
      <c r="A9" s="178" t="s">
        <v>354</v>
      </c>
    </row>
    <row r="10" spans="1:3" x14ac:dyDescent="0.2">
      <c r="A10" s="174" t="s">
        <v>363</v>
      </c>
      <c r="B10" s="20">
        <f>(1+B5)^10-1</f>
        <v>0.34391637934412178</v>
      </c>
      <c r="C10" s="174" t="e">
        <f ca="1">getformula(B10)</f>
        <v>#NAME?</v>
      </c>
    </row>
    <row r="11" spans="1:3" x14ac:dyDescent="0.2">
      <c r="A11" s="174" t="s">
        <v>356</v>
      </c>
      <c r="B11" s="177">
        <f>B3*(1+B10)</f>
        <v>1343.9163793441219</v>
      </c>
      <c r="C11" s="174" t="e">
        <f ca="1">getformula(B11)</f>
        <v>#NAME?</v>
      </c>
    </row>
    <row r="12" spans="1:3" x14ac:dyDescent="0.2">
      <c r="A12" s="174" t="s">
        <v>357</v>
      </c>
      <c r="B12" s="179">
        <f>B11*((1+B4)^10-1)</f>
        <v>645.40816058816858</v>
      </c>
      <c r="C12" s="174" t="e">
        <f ca="1">getformula(B12)</f>
        <v>#NAME?</v>
      </c>
    </row>
    <row r="13" spans="1:3" x14ac:dyDescent="0.2">
      <c r="A13" s="174" t="s">
        <v>364</v>
      </c>
      <c r="B13" s="180">
        <f>B12+B11</f>
        <v>1989.3245399322905</v>
      </c>
      <c r="C13" s="174" t="e">
        <f ca="1">getformula(B13)</f>
        <v>#NAME?</v>
      </c>
    </row>
    <row r="15" spans="1:3" ht="25.5" x14ac:dyDescent="0.2">
      <c r="A15" s="181" t="s">
        <v>359</v>
      </c>
      <c r="B15" s="29">
        <f>B12/B11</f>
        <v>0.48024428491834464</v>
      </c>
      <c r="C15" s="174" t="e">
        <f ca="1">getformula(B15)</f>
        <v>#NAME?</v>
      </c>
    </row>
    <row r="16" spans="1:3" ht="25.5" x14ac:dyDescent="0.2">
      <c r="A16" s="181" t="s">
        <v>365</v>
      </c>
      <c r="B16" s="20">
        <f>(1+B15)^(1/10)-1</f>
        <v>4.0000000000000036E-2</v>
      </c>
      <c r="C16" s="174" t="e">
        <f ca="1">getformula(B16)</f>
        <v>#NAME?</v>
      </c>
    </row>
    <row r="18" spans="1:3" x14ac:dyDescent="0.2">
      <c r="A18" s="174" t="s">
        <v>366</v>
      </c>
      <c r="B18" s="29">
        <f>(B7/B3)^(1/10)-1</f>
        <v>7.1200000000000152E-2</v>
      </c>
      <c r="C18" s="174" t="e">
        <f ca="1">getformula(B18)</f>
        <v>#NAME?</v>
      </c>
    </row>
    <row r="19" spans="1:3" ht="25.5" x14ac:dyDescent="0.2">
      <c r="A19" s="181" t="s">
        <v>367</v>
      </c>
      <c r="B19" s="20">
        <f>(1+B4)*(1+B5)-1</f>
        <v>7.1200000000000152E-2</v>
      </c>
      <c r="C19" s="174" t="e">
        <f ca="1">getformula(B19)</f>
        <v>#NAME?</v>
      </c>
    </row>
  </sheetData>
  <mergeCells count="1">
    <mergeCell ref="A1:C1"/>
  </mergeCells>
  <printOptions headings="1" gridLines="1"/>
  <pageMargins left="0.75" right="0.75" top="1" bottom="1" header="0.5" footer="0.5"/>
  <pageSetup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D19"/>
  <sheetViews>
    <sheetView workbookViewId="0">
      <selection activeCell="D32" sqref="D32"/>
    </sheetView>
  </sheetViews>
  <sheetFormatPr defaultColWidth="8.7109375" defaultRowHeight="12.75" x14ac:dyDescent="0.2"/>
  <cols>
    <col min="1" max="1" width="27" style="174" customWidth="1"/>
    <col min="2" max="2" width="9.28515625" style="174" bestFit="1" customWidth="1"/>
    <col min="3" max="3" width="25.85546875" style="174" bestFit="1" customWidth="1"/>
    <col min="4" max="4" width="28.140625" style="174" customWidth="1"/>
    <col min="5" max="16384" width="8.7109375" style="174"/>
  </cols>
  <sheetData>
    <row r="1" spans="1:4" ht="36.75" customHeight="1" x14ac:dyDescent="0.25">
      <c r="A1" s="274" t="s">
        <v>368</v>
      </c>
      <c r="B1" s="274"/>
      <c r="C1" s="274"/>
      <c r="D1" s="274"/>
    </row>
    <row r="2" spans="1:4" x14ac:dyDescent="0.2">
      <c r="A2" s="174" t="s">
        <v>349</v>
      </c>
      <c r="B2" s="175">
        <v>1000</v>
      </c>
    </row>
    <row r="3" spans="1:4" x14ac:dyDescent="0.2">
      <c r="A3" s="174" t="s">
        <v>350</v>
      </c>
      <c r="B3" s="176">
        <v>3.5000000000000003E-2</v>
      </c>
    </row>
    <row r="4" spans="1:4" x14ac:dyDescent="0.2">
      <c r="A4" s="174" t="s">
        <v>361</v>
      </c>
      <c r="B4" s="176">
        <v>0.03</v>
      </c>
    </row>
    <row r="5" spans="1:4" x14ac:dyDescent="0.2">
      <c r="A5" s="174" t="s">
        <v>369</v>
      </c>
      <c r="B5" s="176">
        <v>0.08</v>
      </c>
    </row>
    <row r="7" spans="1:4" x14ac:dyDescent="0.2">
      <c r="A7" s="174" t="s">
        <v>370</v>
      </c>
      <c r="B7" s="177">
        <f>B2*(1+B4)^5*(1+B3)^5</f>
        <v>1376.8539425375673</v>
      </c>
      <c r="C7" s="174" t="e">
        <f ca="1">getformula(B7)</f>
        <v>#NAME?</v>
      </c>
    </row>
    <row r="8" spans="1:4" x14ac:dyDescent="0.2">
      <c r="A8" s="174" t="s">
        <v>371</v>
      </c>
      <c r="B8" s="175">
        <f>B2*(1+B5)^5</f>
        <v>1469.3280768000004</v>
      </c>
      <c r="C8" s="174" t="e">
        <f ca="1">getformula(B8)</f>
        <v>#NAME?</v>
      </c>
    </row>
    <row r="10" spans="1:4" ht="51" x14ac:dyDescent="0.2">
      <c r="A10" s="182" t="s">
        <v>372</v>
      </c>
      <c r="B10" s="182" t="s">
        <v>373</v>
      </c>
      <c r="C10" s="183" t="s">
        <v>374</v>
      </c>
    </row>
    <row r="11" spans="1:4" x14ac:dyDescent="0.2">
      <c r="A11" s="184">
        <v>0</v>
      </c>
      <c r="B11" s="175">
        <f t="shared" ref="B11:B19" si="0">$B$2*(1+$B$5)^5</f>
        <v>1469.3280768000004</v>
      </c>
      <c r="C11" s="185">
        <f t="shared" ref="C11:C19" si="1">$B$2*(1+$B$3)^5*(1+A11)^5</f>
        <v>1187.6863056468744</v>
      </c>
      <c r="D11" s="174" t="e">
        <f ca="1">getformula(C11)</f>
        <v>#NAME?</v>
      </c>
    </row>
    <row r="12" spans="1:4" x14ac:dyDescent="0.2">
      <c r="A12" s="184">
        <v>0.01</v>
      </c>
      <c r="B12" s="175">
        <f t="shared" si="0"/>
        <v>1469.3280768000004</v>
      </c>
      <c r="C12" s="185">
        <f t="shared" si="1"/>
        <v>1248.2702436010054</v>
      </c>
    </row>
    <row r="13" spans="1:4" x14ac:dyDescent="0.2">
      <c r="A13" s="184">
        <v>0.02</v>
      </c>
      <c r="B13" s="175">
        <f t="shared" si="0"/>
        <v>1469.3280768000004</v>
      </c>
      <c r="C13" s="185">
        <f t="shared" si="1"/>
        <v>1311.3016502882417</v>
      </c>
    </row>
    <row r="14" spans="1:4" x14ac:dyDescent="0.2">
      <c r="A14" s="184">
        <v>0.03</v>
      </c>
      <c r="B14" s="175">
        <f t="shared" si="0"/>
        <v>1469.3280768000004</v>
      </c>
      <c r="C14" s="185">
        <f t="shared" si="1"/>
        <v>1376.853942537567</v>
      </c>
    </row>
    <row r="15" spans="1:4" x14ac:dyDescent="0.2">
      <c r="A15" s="186">
        <v>4.3478000000000003E-2</v>
      </c>
      <c r="B15" s="177">
        <f t="shared" si="0"/>
        <v>1469.3280768000004</v>
      </c>
      <c r="C15" s="187">
        <f t="shared" si="1"/>
        <v>1469.3262401408208</v>
      </c>
      <c r="D15" s="174" t="s">
        <v>375</v>
      </c>
    </row>
    <row r="16" spans="1:4" x14ac:dyDescent="0.2">
      <c r="A16" s="184">
        <v>0.05</v>
      </c>
      <c r="B16" s="175">
        <f t="shared" si="0"/>
        <v>1469.3280768000004</v>
      </c>
      <c r="C16" s="185">
        <f t="shared" si="1"/>
        <v>1515.8221339308457</v>
      </c>
    </row>
    <row r="17" spans="1:3" x14ac:dyDescent="0.2">
      <c r="A17" s="184">
        <v>0.06</v>
      </c>
      <c r="B17" s="175">
        <f t="shared" si="0"/>
        <v>1469.3280768000004</v>
      </c>
      <c r="C17" s="185">
        <f t="shared" si="1"/>
        <v>1589.3921923818993</v>
      </c>
    </row>
    <row r="18" spans="1:3" x14ac:dyDescent="0.2">
      <c r="A18" s="184">
        <v>7.0000000000000007E-2</v>
      </c>
      <c r="B18" s="175">
        <f t="shared" si="0"/>
        <v>1469.3280768000004</v>
      </c>
      <c r="C18" s="185">
        <f t="shared" si="1"/>
        <v>1665.791483513713</v>
      </c>
    </row>
    <row r="19" spans="1:3" x14ac:dyDescent="0.2">
      <c r="A19" s="184">
        <v>0.08</v>
      </c>
      <c r="B19" s="175">
        <f t="shared" si="0"/>
        <v>1469.3280768000004</v>
      </c>
      <c r="C19" s="185">
        <f t="shared" si="1"/>
        <v>1745.1008353178192</v>
      </c>
    </row>
  </sheetData>
  <mergeCells count="1">
    <mergeCell ref="A1:D1"/>
  </mergeCells>
  <printOptions headings="1" gridLines="1"/>
  <pageMargins left="0.75" right="0.75" top="1" bottom="1" header="0.5" footer="0.5"/>
  <pageSetup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D25"/>
  <sheetViews>
    <sheetView workbookViewId="0">
      <selection activeCell="E39" sqref="E39"/>
    </sheetView>
  </sheetViews>
  <sheetFormatPr defaultColWidth="8.7109375" defaultRowHeight="12.75" x14ac:dyDescent="0.2"/>
  <cols>
    <col min="1" max="1" width="27" style="174" customWidth="1"/>
    <col min="2" max="2" width="9.28515625" style="174" bestFit="1" customWidth="1"/>
    <col min="3" max="3" width="25.85546875" style="174" bestFit="1" customWidth="1"/>
    <col min="4" max="4" width="23.42578125" style="174" customWidth="1"/>
    <col min="5" max="16384" width="8.7109375" style="174"/>
  </cols>
  <sheetData>
    <row r="1" spans="1:4" ht="21.6" customHeight="1" x14ac:dyDescent="0.2">
      <c r="A1" s="273" t="s">
        <v>376</v>
      </c>
      <c r="B1" s="273"/>
      <c r="C1" s="273"/>
      <c r="D1" s="273"/>
    </row>
    <row r="2" spans="1:4" x14ac:dyDescent="0.2">
      <c r="A2" s="174" t="s">
        <v>349</v>
      </c>
      <c r="B2" s="175">
        <v>1000</v>
      </c>
    </row>
    <row r="3" spans="1:4" x14ac:dyDescent="0.2">
      <c r="A3" s="174" t="s">
        <v>350</v>
      </c>
      <c r="B3" s="176">
        <v>3.5000000000000003E-2</v>
      </c>
    </row>
    <row r="4" spans="1:4" x14ac:dyDescent="0.2">
      <c r="A4" s="174" t="s">
        <v>361</v>
      </c>
      <c r="B4" s="176">
        <v>0.03</v>
      </c>
    </row>
    <row r="5" spans="1:4" x14ac:dyDescent="0.2">
      <c r="A5" s="174" t="s">
        <v>369</v>
      </c>
      <c r="B5" s="176">
        <v>0.08</v>
      </c>
    </row>
    <row r="7" spans="1:4" x14ac:dyDescent="0.2">
      <c r="A7" s="174" t="s">
        <v>370</v>
      </c>
      <c r="B7" s="177">
        <f>B2*(1+B4)^5*(1+B3)^5</f>
        <v>1376.8539425375673</v>
      </c>
      <c r="C7" s="174" t="e">
        <f ca="1">getformula(B7)</f>
        <v>#NAME?</v>
      </c>
    </row>
    <row r="8" spans="1:4" x14ac:dyDescent="0.2">
      <c r="A8" s="174" t="s">
        <v>371</v>
      </c>
      <c r="B8" s="175">
        <f>B2*(1+B5)^5</f>
        <v>1469.3280768000004</v>
      </c>
      <c r="C8" s="174" t="e">
        <f ca="1">getformula(B8)</f>
        <v>#NAME?</v>
      </c>
    </row>
    <row r="9" spans="1:4" x14ac:dyDescent="0.2">
      <c r="B9" s="188"/>
    </row>
    <row r="10" spans="1:4" ht="25.5" x14ac:dyDescent="0.2">
      <c r="A10" s="181" t="s">
        <v>377</v>
      </c>
      <c r="B10" s="175">
        <f>B7/(1+B4)^5</f>
        <v>1187.6863056468746</v>
      </c>
      <c r="C10" s="174" t="e">
        <f ca="1">getformula(B10)</f>
        <v>#NAME?</v>
      </c>
    </row>
    <row r="11" spans="1:4" ht="25.5" x14ac:dyDescent="0.2">
      <c r="A11" s="181" t="s">
        <v>378</v>
      </c>
      <c r="B11" s="175">
        <f>B8/(1+B4)^5</f>
        <v>1267.4553061899701</v>
      </c>
      <c r="C11" s="174" t="e">
        <f ca="1">getformula(B11)</f>
        <v>#NAME?</v>
      </c>
    </row>
    <row r="12" spans="1:4" x14ac:dyDescent="0.2">
      <c r="B12" s="188"/>
    </row>
    <row r="13" spans="1:4" x14ac:dyDescent="0.2">
      <c r="A13" s="189" t="s">
        <v>379</v>
      </c>
      <c r="B13" s="29">
        <f>(B10/B2)^(1/5)-1</f>
        <v>3.499999999999992E-2</v>
      </c>
      <c r="C13" s="189" t="e">
        <f ca="1">getformula(B13)</f>
        <v>#NAME?</v>
      </c>
    </row>
    <row r="14" spans="1:4" x14ac:dyDescent="0.2">
      <c r="A14" s="189" t="s">
        <v>380</v>
      </c>
      <c r="B14" s="190">
        <f>(B11/B2)^(1/5)-1</f>
        <v>4.8543689320388328E-2</v>
      </c>
      <c r="C14" s="189" t="e">
        <f ca="1">getformula(B14)</f>
        <v>#NAME?</v>
      </c>
    </row>
    <row r="16" spans="1:4" ht="25.5" x14ac:dyDescent="0.2">
      <c r="A16" s="182" t="s">
        <v>372</v>
      </c>
      <c r="B16" s="182" t="s">
        <v>381</v>
      </c>
      <c r="C16" s="191" t="s">
        <v>382</v>
      </c>
    </row>
    <row r="17" spans="1:4" x14ac:dyDescent="0.2">
      <c r="A17" s="184">
        <v>0</v>
      </c>
      <c r="B17" s="192">
        <f t="shared" ref="B17:B25" si="0">(($B$8/(1+A17)^5)/1000)^(1/5)-1</f>
        <v>8.0000000000000071E-2</v>
      </c>
      <c r="C17" s="193">
        <f>(B10/B2)^(1/5)-1</f>
        <v>3.499999999999992E-2</v>
      </c>
      <c r="D17" s="174" t="e">
        <f ca="1">getformula(C17)</f>
        <v>#NAME?</v>
      </c>
    </row>
    <row r="18" spans="1:4" x14ac:dyDescent="0.2">
      <c r="A18" s="184">
        <v>0.01</v>
      </c>
      <c r="B18" s="192">
        <f t="shared" si="0"/>
        <v>6.9306930693069368E-2</v>
      </c>
      <c r="C18" s="193">
        <f>(B10/B2)^(1/5)-1</f>
        <v>3.499999999999992E-2</v>
      </c>
    </row>
    <row r="19" spans="1:4" x14ac:dyDescent="0.2">
      <c r="A19" s="184">
        <v>0.02</v>
      </c>
      <c r="B19" s="192">
        <f t="shared" si="0"/>
        <v>5.8823529411764719E-2</v>
      </c>
      <c r="C19" s="193">
        <f>(B10/B2)^(1/5)-1</f>
        <v>3.499999999999992E-2</v>
      </c>
    </row>
    <row r="20" spans="1:4" x14ac:dyDescent="0.2">
      <c r="A20" s="184">
        <v>0.03</v>
      </c>
      <c r="B20" s="192">
        <f t="shared" si="0"/>
        <v>4.8543689320388328E-2</v>
      </c>
      <c r="C20" s="193">
        <f>(B10/B2)^(1/5)-1</f>
        <v>3.499999999999992E-2</v>
      </c>
    </row>
    <row r="21" spans="1:4" x14ac:dyDescent="0.2">
      <c r="A21" s="186">
        <v>4.3478000000000003E-2</v>
      </c>
      <c r="B21" s="192">
        <f t="shared" si="0"/>
        <v>3.500025875006485E-2</v>
      </c>
      <c r="C21" s="194">
        <f>(B10/B2)^(1/5)-1</f>
        <v>3.499999999999992E-2</v>
      </c>
      <c r="D21" s="174" t="s">
        <v>375</v>
      </c>
    </row>
    <row r="22" spans="1:4" x14ac:dyDescent="0.2">
      <c r="A22" s="184">
        <v>0.05</v>
      </c>
      <c r="B22" s="192">
        <f t="shared" si="0"/>
        <v>2.8571428571428692E-2</v>
      </c>
      <c r="C22" s="193">
        <f>(B10/B2)^(1/5)-1</f>
        <v>3.499999999999992E-2</v>
      </c>
    </row>
    <row r="23" spans="1:4" x14ac:dyDescent="0.2">
      <c r="A23" s="184">
        <v>0.06</v>
      </c>
      <c r="B23" s="192">
        <f t="shared" si="0"/>
        <v>1.8867924528301883E-2</v>
      </c>
      <c r="C23" s="193">
        <f>(B10/B2)^(1/5)-1</f>
        <v>3.499999999999992E-2</v>
      </c>
    </row>
    <row r="24" spans="1:4" x14ac:dyDescent="0.2">
      <c r="A24" s="184">
        <v>7.0000000000000007E-2</v>
      </c>
      <c r="B24" s="192">
        <f t="shared" si="0"/>
        <v>9.3457943925234765E-3</v>
      </c>
      <c r="C24" s="193">
        <f>(B10/B2)^(1/5)-1</f>
        <v>3.499999999999992E-2</v>
      </c>
    </row>
    <row r="25" spans="1:4" x14ac:dyDescent="0.2">
      <c r="A25" s="184">
        <v>0.08</v>
      </c>
      <c r="B25" s="192">
        <f t="shared" si="0"/>
        <v>0</v>
      </c>
      <c r="C25" s="193">
        <f>(B10/B2)^(1/5)-1</f>
        <v>3.499999999999992E-2</v>
      </c>
    </row>
  </sheetData>
  <mergeCells count="1">
    <mergeCell ref="A1:D1"/>
  </mergeCells>
  <printOptions headings="1" gridLines="1"/>
  <pageMargins left="0.75" right="0.75" top="1" bottom="1" header="0.5" footer="0.5"/>
  <pageSetup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workbookViewId="0">
      <selection activeCell="D32" sqref="D32"/>
    </sheetView>
  </sheetViews>
  <sheetFormatPr defaultColWidth="8.7109375" defaultRowHeight="12.75" x14ac:dyDescent="0.2"/>
  <cols>
    <col min="1" max="1" width="18.5703125" style="174" customWidth="1"/>
    <col min="2" max="2" width="9.140625" style="174" bestFit="1" customWidth="1"/>
    <col min="3" max="6" width="6.85546875" style="174" bestFit="1" customWidth="1"/>
    <col min="7" max="12" width="6.28515625" style="174" bestFit="1" customWidth="1"/>
    <col min="13" max="16384" width="8.7109375" style="174"/>
  </cols>
  <sheetData>
    <row r="1" spans="1:12" ht="18" x14ac:dyDescent="0.25">
      <c r="A1" s="275" t="s">
        <v>383</v>
      </c>
      <c r="B1" s="275"/>
      <c r="C1" s="275"/>
      <c r="D1" s="275"/>
      <c r="E1" s="275"/>
      <c r="F1" s="275"/>
      <c r="G1" s="275"/>
      <c r="H1" s="275"/>
      <c r="I1" s="275"/>
      <c r="J1" s="275"/>
      <c r="K1" s="275"/>
      <c r="L1" s="275"/>
    </row>
    <row r="2" spans="1:12" x14ac:dyDescent="0.2">
      <c r="A2" s="178" t="s">
        <v>384</v>
      </c>
      <c r="B2" s="195" t="s">
        <v>385</v>
      </c>
      <c r="C2" s="195" t="s">
        <v>386</v>
      </c>
      <c r="D2" s="195" t="s">
        <v>387</v>
      </c>
      <c r="E2" s="195" t="s">
        <v>388</v>
      </c>
      <c r="F2" s="195" t="s">
        <v>389</v>
      </c>
      <c r="G2" s="195" t="s">
        <v>390</v>
      </c>
      <c r="H2" s="195" t="s">
        <v>391</v>
      </c>
      <c r="I2" s="195" t="s">
        <v>392</v>
      </c>
      <c r="J2" s="195" t="s">
        <v>393</v>
      </c>
      <c r="K2" s="195" t="s">
        <v>393</v>
      </c>
      <c r="L2" s="195" t="s">
        <v>394</v>
      </c>
    </row>
    <row r="3" spans="1:12" x14ac:dyDescent="0.2">
      <c r="A3" s="196" t="s">
        <v>395</v>
      </c>
      <c r="B3" s="10">
        <v>1E-3</v>
      </c>
      <c r="C3" s="10">
        <v>1E-3</v>
      </c>
      <c r="D3" s="10">
        <v>2.5999999999999999E-3</v>
      </c>
      <c r="E3" s="10">
        <v>4.5000000000000005E-3</v>
      </c>
      <c r="F3" s="10">
        <v>1.0999999999999999E-2</v>
      </c>
      <c r="G3" s="10">
        <v>1.6500000000000001E-2</v>
      </c>
      <c r="H3" s="10">
        <v>2.58E-2</v>
      </c>
      <c r="I3" s="10">
        <v>3.2099999999999997E-2</v>
      </c>
      <c r="J3" s="10">
        <v>3.56E-2</v>
      </c>
      <c r="K3" s="10">
        <v>4.3200000000000002E-2</v>
      </c>
      <c r="L3" s="10">
        <v>4.36E-2</v>
      </c>
    </row>
    <row r="5" spans="1:12" x14ac:dyDescent="0.2">
      <c r="A5" s="178" t="s">
        <v>396</v>
      </c>
      <c r="B5" s="195"/>
      <c r="C5" s="195"/>
      <c r="D5" s="195"/>
      <c r="E5" s="195"/>
      <c r="F5" s="195"/>
      <c r="G5" s="195"/>
      <c r="H5" s="195" t="s">
        <v>391</v>
      </c>
      <c r="I5" s="195" t="s">
        <v>392</v>
      </c>
      <c r="J5" s="195" t="s">
        <v>393</v>
      </c>
      <c r="K5" s="197" t="s">
        <v>393</v>
      </c>
      <c r="L5" s="195"/>
    </row>
    <row r="6" spans="1:12" x14ac:dyDescent="0.2">
      <c r="A6" s="196" t="s">
        <v>397</v>
      </c>
      <c r="H6" s="176">
        <v>1.2200000000000001E-2</v>
      </c>
      <c r="I6" s="176">
        <v>1.41E-2</v>
      </c>
      <c r="J6" s="176">
        <v>1.6899999999999998E-2</v>
      </c>
      <c r="K6" s="176">
        <v>2.1000000000000001E-2</v>
      </c>
    </row>
    <row r="8" spans="1:12" x14ac:dyDescent="0.2">
      <c r="A8" s="198" t="s">
        <v>398</v>
      </c>
      <c r="B8" s="176">
        <f>B3-$H$6</f>
        <v>-1.1200000000000002E-2</v>
      </c>
      <c r="C8" s="176">
        <f t="shared" ref="C8:H8" si="0">C3-$H$6</f>
        <v>-1.1200000000000002E-2</v>
      </c>
      <c r="D8" s="176">
        <f t="shared" si="0"/>
        <v>-9.6000000000000009E-3</v>
      </c>
      <c r="E8" s="176">
        <f t="shared" si="0"/>
        <v>-7.7000000000000002E-3</v>
      </c>
      <c r="F8" s="176">
        <f t="shared" si="0"/>
        <v>-1.2000000000000014E-3</v>
      </c>
      <c r="G8" s="176">
        <f t="shared" si="0"/>
        <v>4.3E-3</v>
      </c>
      <c r="H8" s="176">
        <f t="shared" si="0"/>
        <v>1.3599999999999999E-2</v>
      </c>
      <c r="I8" s="176">
        <f>I3-I6</f>
        <v>1.7999999999999995E-2</v>
      </c>
      <c r="J8" s="176">
        <f>J3-J6</f>
        <v>1.8700000000000001E-2</v>
      </c>
      <c r="K8" s="176">
        <f>K3-K6</f>
        <v>2.2200000000000001E-2</v>
      </c>
      <c r="L8" s="176">
        <f>L3-K6</f>
        <v>2.2599999999999999E-2</v>
      </c>
    </row>
    <row r="31" spans="1:2" x14ac:dyDescent="0.2">
      <c r="A31" s="178" t="s">
        <v>399</v>
      </c>
    </row>
    <row r="32" spans="1:2" x14ac:dyDescent="0.2">
      <c r="A32" s="174" t="str">
        <f>"Cell "&amp;CHAR(COLUMN(B8)+64)&amp;ROW(B8)</f>
        <v>Cell B8</v>
      </c>
      <c r="B32" s="174" t="e">
        <f ca="1">_xlfn.FORMULATEXT($B$8)</f>
        <v>#NAME?</v>
      </c>
    </row>
    <row r="33" spans="1:2" x14ac:dyDescent="0.2">
      <c r="A33" s="174" t="str">
        <f>"Cell "&amp;CHAR(COLUMN(C8)+64)&amp;ROW(C8)</f>
        <v>Cell C8</v>
      </c>
      <c r="B33" s="174" t="e">
        <f ca="1">_xlfn.FORMULATEXT($C$8)</f>
        <v>#NAME?</v>
      </c>
    </row>
    <row r="34" spans="1:2" x14ac:dyDescent="0.2">
      <c r="A34" s="174" t="str">
        <f>"Cell "&amp;CHAR(COLUMN(D8)+64)&amp;ROW(D8)</f>
        <v>Cell D8</v>
      </c>
      <c r="B34" s="174" t="e">
        <f ca="1">_xlfn.FORMULATEXT($D$8)</f>
        <v>#NAME?</v>
      </c>
    </row>
    <row r="35" spans="1:2" x14ac:dyDescent="0.2">
      <c r="A35" s="174" t="str">
        <f>"Cell "&amp;CHAR(COLUMN(E8)+64)&amp;ROW(E8)</f>
        <v>Cell E8</v>
      </c>
      <c r="B35" s="174" t="e">
        <f ca="1">_xlfn.FORMULATEXT($E$8)</f>
        <v>#NAME?</v>
      </c>
    </row>
    <row r="36" spans="1:2" x14ac:dyDescent="0.2">
      <c r="A36" s="174" t="str">
        <f>"Cell "&amp;CHAR(COLUMN(F8)+64)&amp;ROW(F8)</f>
        <v>Cell F8</v>
      </c>
      <c r="B36" s="174" t="e">
        <f ca="1">_xlfn.FORMULATEXT($F$8)</f>
        <v>#NAME?</v>
      </c>
    </row>
    <row r="37" spans="1:2" x14ac:dyDescent="0.2">
      <c r="A37" s="174" t="str">
        <f>"Cell "&amp;CHAR(COLUMN(G8)+64)&amp;ROW(G8)</f>
        <v>Cell G8</v>
      </c>
      <c r="B37" s="174" t="e">
        <f ca="1">_xlfn.FORMULATEXT($G$8)</f>
        <v>#NAME?</v>
      </c>
    </row>
    <row r="38" spans="1:2" x14ac:dyDescent="0.2">
      <c r="A38" s="174" t="str">
        <f>"Cell "&amp;CHAR(COLUMN(H8)+64)&amp;ROW(H8)</f>
        <v>Cell H8</v>
      </c>
      <c r="B38" s="174" t="e">
        <f ca="1">_xlfn.FORMULATEXT($H$8)</f>
        <v>#NAME?</v>
      </c>
    </row>
    <row r="39" spans="1:2" x14ac:dyDescent="0.2">
      <c r="A39" s="174" t="str">
        <f>"Cell "&amp;CHAR(COLUMN(I8)+64)&amp;ROW(I8)</f>
        <v>Cell I8</v>
      </c>
      <c r="B39" s="174" t="e">
        <f ca="1">_xlfn.FORMULATEXT($I$8)</f>
        <v>#NAME?</v>
      </c>
    </row>
    <row r="40" spans="1:2" x14ac:dyDescent="0.2">
      <c r="A40" s="174" t="str">
        <f>"Cell "&amp;CHAR(COLUMN(J8)+64)&amp;ROW(J8)</f>
        <v>Cell J8</v>
      </c>
      <c r="B40" s="174" t="e">
        <f ca="1">_xlfn.FORMULATEXT($J$8)</f>
        <v>#NAME?</v>
      </c>
    </row>
    <row r="41" spans="1:2" x14ac:dyDescent="0.2">
      <c r="A41" s="174" t="str">
        <f>"Cell "&amp;CHAR(COLUMN(K8)+64)&amp;ROW(K8)</f>
        <v>Cell K8</v>
      </c>
      <c r="B41" s="174" t="e">
        <f ca="1">_xlfn.FORMULATEXT($K$8)</f>
        <v>#NAME?</v>
      </c>
    </row>
    <row r="42" spans="1:2" x14ac:dyDescent="0.2">
      <c r="A42" s="174" t="str">
        <f>"Cell "&amp;CHAR(COLUMN(L8)+64)&amp;ROW(L8)</f>
        <v>Cell L8</v>
      </c>
      <c r="B42" s="174" t="e">
        <f ca="1">_xlfn.FORMULATEXT($L$8)</f>
        <v>#NAME?</v>
      </c>
    </row>
    <row r="44" spans="1:2" x14ac:dyDescent="0.2">
      <c r="A44" s="178" t="s">
        <v>400</v>
      </c>
    </row>
    <row r="45" spans="1:2" x14ac:dyDescent="0.2">
      <c r="A45" s="174" t="s">
        <v>401</v>
      </c>
    </row>
    <row r="46" spans="1:2" x14ac:dyDescent="0.2">
      <c r="A46" s="174" t="s">
        <v>402</v>
      </c>
    </row>
  </sheetData>
  <mergeCells count="1">
    <mergeCell ref="A1:L1"/>
  </mergeCells>
  <printOptions headings="1" gridLines="1"/>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5</vt:i4>
      </vt:variant>
    </vt:vector>
  </HeadingPairs>
  <TitlesOfParts>
    <vt:vector size="40" baseType="lpstr">
      <vt:lpstr>Corp. bonds investment grad (2</vt:lpstr>
      <vt:lpstr>Corporate bonds junk (2)</vt:lpstr>
      <vt:lpstr>Corp. bonds investment grade</vt:lpstr>
      <vt:lpstr>Corporate bonds junk</vt:lpstr>
      <vt:lpstr>Index</vt:lpstr>
      <vt:lpstr>Page 461</vt:lpstr>
      <vt:lpstr>Page 463</vt:lpstr>
      <vt:lpstr>Page 464</vt:lpstr>
      <vt:lpstr>Page 465 timeline</vt:lpstr>
      <vt:lpstr>Page 465</vt:lpstr>
      <vt:lpstr>Page 467</vt:lpstr>
      <vt:lpstr>Page 468</vt:lpstr>
      <vt:lpstr>Page 469</vt:lpstr>
      <vt:lpstr>Accrued interest</vt:lpstr>
      <vt:lpstr>Page 471</vt:lpstr>
      <vt:lpstr>Page 473</vt:lpstr>
      <vt:lpstr>Page 474</vt:lpstr>
      <vt:lpstr>Page 478</vt:lpstr>
      <vt:lpstr>Page 479</vt:lpstr>
      <vt:lpstr>Page 480</vt:lpstr>
      <vt:lpstr>Page 483</vt:lpstr>
      <vt:lpstr>Page 485</vt:lpstr>
      <vt:lpstr>Page 486</vt:lpstr>
      <vt:lpstr>Pages 487+488</vt:lpstr>
      <vt:lpstr>Page 489</vt:lpstr>
      <vt:lpstr>Page 490</vt:lpstr>
      <vt:lpstr>Page 491</vt:lpstr>
      <vt:lpstr>Page 492</vt:lpstr>
      <vt:lpstr>Page 494</vt:lpstr>
      <vt:lpstr>Page 495</vt:lpstr>
      <vt:lpstr>Page 496</vt:lpstr>
      <vt:lpstr>Page 497</vt:lpstr>
      <vt:lpstr>Page 498</vt:lpstr>
      <vt:lpstr>Page 499</vt:lpstr>
      <vt:lpstr>Page 500</vt:lpstr>
      <vt:lpstr>'Page 469'!Print_Area</vt:lpstr>
      <vt:lpstr>ProjectEnd</vt:lpstr>
      <vt:lpstr>ProjectStart</vt:lpstr>
      <vt:lpstr>'Page 500'!real_yield.shtml</vt:lpstr>
      <vt:lpstr>'Page 500'!yield.shtml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benninga</dc:creator>
  <cp:lastModifiedBy>BALL, Alison</cp:lastModifiedBy>
  <dcterms:created xsi:type="dcterms:W3CDTF">2002-08-26T15:13:40Z</dcterms:created>
  <dcterms:modified xsi:type="dcterms:W3CDTF">2017-08-11T17:36:18Z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PFE3, Chapter15 - bonds (2).xlsm</vt:lpwstr>
  </property>
</Properties>
</file>