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21656B06-1B9B-AA78-C99D-37B55691406E}"/>
  <workbookPr codeName="ThisWorkbook" defaultThemeVersion="124226"/>
  <bookViews>
    <workbookView xWindow="180" yWindow="45" windowWidth="14340" windowHeight="8970"/>
  </bookViews>
  <sheets>
    <sheet name="Index" sheetId="35" r:id="rId1"/>
    <sheet name="Page 701" sheetId="2" r:id="rId2"/>
    <sheet name="Page 702" sheetId="3" r:id="rId3"/>
    <sheet name="Page 703" sheetId="22" r:id="rId4"/>
    <sheet name="Page 704" sheetId="23" r:id="rId5"/>
    <sheet name="Page 705" sheetId="5" r:id="rId6"/>
    <sheet name="Page 706" sheetId="6" r:id="rId7"/>
    <sheet name="Page 707" sheetId="7" r:id="rId8"/>
    <sheet name="Page 707 bottom" sheetId="28" r:id="rId9"/>
    <sheet name="Page 708" sheetId="25" r:id="rId10"/>
    <sheet name="Page 709" sheetId="1" r:id="rId11"/>
    <sheet name="Page 711" sheetId="8" r:id="rId12"/>
    <sheet name="Page 711-712" sheetId="9" r:id="rId13"/>
    <sheet name="Page 713" sheetId="33" r:id="rId14"/>
    <sheet name="Page 714" sheetId="34" r:id="rId15"/>
    <sheet name="Pages 714-716" sheetId="10" r:id="rId16"/>
    <sheet name="Page 716" sheetId="11" r:id="rId17"/>
    <sheet name="Page 717" sheetId="12" r:id="rId18"/>
    <sheet name="Pages 717-718" sheetId="13" r:id="rId19"/>
    <sheet name="Page 719" sheetId="14" r:id="rId20"/>
    <sheet name="Page 719 bottom" sheetId="15" r:id="rId21"/>
    <sheet name="Pages 720-721" sheetId="16" r:id="rId22"/>
    <sheet name="Page 722" sheetId="17" r:id="rId23"/>
    <sheet name="Pages 723-724" sheetId="18" r:id="rId24"/>
    <sheet name="Page 725" sheetId="19" r:id="rId25"/>
    <sheet name="Page 727" sheetId="20" r:id="rId26"/>
    <sheet name="Page 727 bottom" sheetId="30" r:id="rId27"/>
    <sheet name="Page 750" sheetId="27" r:id="rId28"/>
  </sheets>
  <calcPr calcId="144525" iterate="1"/>
</workbook>
</file>

<file path=xl/calcChain.xml><?xml version="1.0" encoding="utf-8"?>
<calcChain xmlns="http://schemas.openxmlformats.org/spreadsheetml/2006/main">
  <c r="E13" i="27" l="1"/>
  <c r="E11" i="27"/>
  <c r="E10" i="27"/>
  <c r="F4" i="27"/>
  <c r="B29" i="35"/>
  <c r="B28" i="35"/>
  <c r="B24" i="35"/>
  <c r="B20" i="35"/>
  <c r="B16" i="35"/>
  <c r="B8" i="35"/>
  <c r="F8" i="27"/>
  <c r="B4" i="35"/>
  <c r="B27" i="35"/>
  <c r="B23" i="35"/>
  <c r="B19" i="35"/>
  <c r="B15" i="35"/>
  <c r="B11" i="35"/>
  <c r="B7" i="35"/>
  <c r="F13" i="27"/>
  <c r="F7" i="27"/>
  <c r="B30" i="35"/>
  <c r="B26" i="35"/>
  <c r="B22" i="35"/>
  <c r="B18" i="35"/>
  <c r="B14" i="35"/>
  <c r="B10" i="35"/>
  <c r="B6" i="35"/>
  <c r="F11" i="27"/>
  <c r="F5" i="27"/>
  <c r="B25" i="35"/>
  <c r="B21" i="35"/>
  <c r="B17" i="35"/>
  <c r="B13" i="35"/>
  <c r="B9" i="35"/>
  <c r="B5" i="35"/>
  <c r="F10" i="27"/>
  <c r="B12" i="35"/>
  <c r="B3" i="35"/>
  <c r="F3" i="18" l="1"/>
  <c r="B9" i="34"/>
  <c r="B7" i="34"/>
  <c r="H7" i="18"/>
  <c r="F13" i="16"/>
  <c r="F9" i="18"/>
  <c r="B13" i="16"/>
  <c r="F7" i="18"/>
  <c r="C9" i="34"/>
  <c r="D13" i="16"/>
  <c r="C7" i="34"/>
  <c r="D4" i="16" l="1"/>
  <c r="B9" i="33"/>
  <c r="B7" i="33"/>
  <c r="B13" i="30"/>
  <c r="B5" i="28"/>
  <c r="B9" i="28"/>
  <c r="B8" i="28"/>
  <c r="C13" i="30"/>
  <c r="C9" i="28"/>
  <c r="C9" i="33"/>
  <c r="C5" i="28"/>
  <c r="C7" i="33"/>
  <c r="C8" i="28"/>
  <c r="E4" i="27" l="1"/>
  <c r="E7" i="27" s="1"/>
  <c r="E5" i="27"/>
  <c r="E8" i="27" s="1"/>
  <c r="B18" i="19" l="1"/>
  <c r="B9" i="15"/>
  <c r="D15" i="13"/>
  <c r="C18" i="25"/>
  <c r="C14" i="22"/>
  <c r="B8" i="25"/>
  <c r="B7" i="25"/>
  <c r="B6" i="25"/>
  <c r="C6" i="25" s="1"/>
  <c r="B9" i="25"/>
  <c r="B10" i="25"/>
  <c r="B11" i="25"/>
  <c r="B12" i="25"/>
  <c r="B13" i="25"/>
  <c r="B14" i="25"/>
  <c r="B15" i="25"/>
  <c r="C14" i="23"/>
  <c r="C11" i="23"/>
  <c r="C6" i="23"/>
  <c r="B7" i="23"/>
  <c r="C7" i="23" s="1"/>
  <c r="B8" i="23"/>
  <c r="C8" i="23" s="1"/>
  <c r="B9" i="23"/>
  <c r="C9" i="23" s="1"/>
  <c r="B10" i="23"/>
  <c r="C10" i="23" s="1"/>
  <c r="B6" i="22"/>
  <c r="C6" i="22" s="1"/>
  <c r="B7" i="22"/>
  <c r="C7" i="22" s="1"/>
  <c r="B8" i="22"/>
  <c r="C8" i="22" s="1"/>
  <c r="B9" i="22"/>
  <c r="C9" i="22" s="1"/>
  <c r="B10" i="22"/>
  <c r="C10" i="22" s="1"/>
  <c r="B15" i="20"/>
  <c r="B14" i="20"/>
  <c r="B13" i="20"/>
  <c r="B17" i="19"/>
  <c r="B16" i="19"/>
  <c r="B15" i="19"/>
  <c r="B19" i="8"/>
  <c r="C19" i="8" s="1"/>
  <c r="C24" i="8"/>
  <c r="B20" i="8"/>
  <c r="C20" i="8" s="1"/>
  <c r="B21" i="8"/>
  <c r="C21" i="8" s="1"/>
  <c r="B22" i="8"/>
  <c r="C22" i="8" s="1"/>
  <c r="B23" i="8"/>
  <c r="C23" i="8" s="1"/>
  <c r="C10" i="8"/>
  <c r="C11" i="8"/>
  <c r="C12" i="8"/>
  <c r="C13" i="8"/>
  <c r="C9" i="8"/>
  <c r="C8" i="8"/>
  <c r="B8" i="8"/>
  <c r="B5" i="8"/>
  <c r="B4" i="10"/>
  <c r="B5" i="10"/>
  <c r="B11" i="10"/>
  <c r="B12" i="10"/>
  <c r="B23" i="10" s="1"/>
  <c r="B18" i="10"/>
  <c r="B19" i="10" s="1"/>
  <c r="B20" i="10" s="1"/>
  <c r="B5" i="9"/>
  <c r="B10" i="9"/>
  <c r="B11" i="9" s="1"/>
  <c r="B19" i="9"/>
  <c r="B20" i="9"/>
  <c r="B21" i="9"/>
  <c r="B22" i="9"/>
  <c r="B23" i="9"/>
  <c r="B24" i="9"/>
  <c r="B25" i="9"/>
  <c r="B26" i="9"/>
  <c r="B27" i="9"/>
  <c r="B28" i="9"/>
  <c r="B29" i="9"/>
  <c r="B40" i="9"/>
  <c r="B49" i="9"/>
  <c r="B51" i="9"/>
  <c r="B5" i="7"/>
  <c r="B9" i="7"/>
  <c r="D9" i="7" s="1"/>
  <c r="C9" i="7"/>
  <c r="C10" i="7" s="1"/>
  <c r="C11" i="7" s="1"/>
  <c r="C12" i="7" s="1"/>
  <c r="C13" i="7" s="1"/>
  <c r="C14" i="7" s="1"/>
  <c r="C15" i="7" s="1"/>
  <c r="C16" i="7" s="1"/>
  <c r="C17" i="7" s="1"/>
  <c r="C18" i="7" s="1"/>
  <c r="B6" i="6"/>
  <c r="B12" i="6"/>
  <c r="B6" i="5"/>
  <c r="B12" i="5"/>
  <c r="B15" i="3"/>
  <c r="B16" i="3"/>
  <c r="B19" i="3"/>
  <c r="A20" i="3"/>
  <c r="B20" i="3" s="1"/>
  <c r="B6" i="2"/>
  <c r="B12" i="2"/>
  <c r="B13" i="2"/>
  <c r="B11" i="1"/>
  <c r="C18" i="1" s="1"/>
  <c r="B9" i="1"/>
  <c r="C16" i="1" s="1"/>
  <c r="C17" i="1"/>
  <c r="C19" i="1"/>
  <c r="C20" i="1"/>
  <c r="C21" i="1"/>
  <c r="C23" i="1"/>
  <c r="C24" i="1"/>
  <c r="C25" i="1"/>
  <c r="B16" i="1"/>
  <c r="B17" i="1"/>
  <c r="B18" i="1"/>
  <c r="B19" i="1"/>
  <c r="B20" i="1"/>
  <c r="B21" i="1"/>
  <c r="B22" i="1"/>
  <c r="B23" i="1"/>
  <c r="B24" i="1"/>
  <c r="B25" i="1"/>
  <c r="B26" i="1"/>
  <c r="B6" i="1"/>
  <c r="G3" i="18"/>
  <c r="H3" i="18"/>
  <c r="A4" i="17"/>
  <c r="A5" i="17"/>
  <c r="A7" i="17"/>
  <c r="B12" i="17"/>
  <c r="B14" i="17"/>
  <c r="B15" i="17"/>
  <c r="B16" i="17"/>
  <c r="A20" i="17"/>
  <c r="A21" i="17"/>
  <c r="A22" i="17"/>
  <c r="A23" i="17"/>
  <c r="D3" i="16"/>
  <c r="H3" i="16" s="1"/>
  <c r="E3" i="16"/>
  <c r="F3" i="16"/>
  <c r="E4" i="16"/>
  <c r="F4" i="16"/>
  <c r="H4" i="16"/>
  <c r="D5" i="16"/>
  <c r="H5" i="16" s="1"/>
  <c r="E5" i="16"/>
  <c r="F5" i="16"/>
  <c r="D6" i="16"/>
  <c r="H6" i="16" s="1"/>
  <c r="E6" i="16"/>
  <c r="F6" i="16"/>
  <c r="D7" i="16"/>
  <c r="H7" i="16" s="1"/>
  <c r="E7" i="16"/>
  <c r="F7" i="16"/>
  <c r="D8" i="16"/>
  <c r="H8" i="16" s="1"/>
  <c r="E8" i="16"/>
  <c r="F8" i="16"/>
  <c r="D9" i="16"/>
  <c r="H9" i="16" s="1"/>
  <c r="E9" i="16"/>
  <c r="F9" i="16"/>
  <c r="D10" i="16"/>
  <c r="H10" i="16" s="1"/>
  <c r="E10" i="16"/>
  <c r="F10" i="16"/>
  <c r="B19" i="16"/>
  <c r="B3" i="14"/>
  <c r="B6" i="14"/>
  <c r="A7" i="13"/>
  <c r="A15" i="13"/>
  <c r="C22" i="13"/>
  <c r="C24" i="13" s="1"/>
  <c r="B3" i="12"/>
  <c r="B4" i="12"/>
  <c r="B2" i="11"/>
  <c r="B4" i="11" s="1"/>
  <c r="B5" i="11"/>
  <c r="B14" i="11"/>
  <c r="B17" i="11"/>
  <c r="B20" i="11" s="1"/>
  <c r="B18" i="11"/>
  <c r="B21" i="11"/>
  <c r="B7" i="17"/>
  <c r="D6" i="22"/>
  <c r="C51" i="9"/>
  <c r="D28" i="1"/>
  <c r="C2" i="11"/>
  <c r="C40" i="9"/>
  <c r="C5" i="11"/>
  <c r="C5" i="10"/>
  <c r="C10" i="11"/>
  <c r="C3" i="14"/>
  <c r="C6" i="6"/>
  <c r="D6" i="25"/>
  <c r="C11" i="10"/>
  <c r="C11" i="11"/>
  <c r="C5" i="7"/>
  <c r="D6" i="23"/>
  <c r="D18" i="25"/>
  <c r="D26" i="8"/>
  <c r="C12" i="5"/>
  <c r="C12" i="17"/>
  <c r="C12" i="1"/>
  <c r="C18" i="10"/>
  <c r="C13" i="20"/>
  <c r="C16" i="19"/>
  <c r="C6" i="5"/>
  <c r="C4" i="12"/>
  <c r="D16" i="25"/>
  <c r="C12" i="6"/>
  <c r="C20" i="11"/>
  <c r="C20" i="3"/>
  <c r="C18" i="19"/>
  <c r="C15" i="19"/>
  <c r="B15" i="13"/>
  <c r="C6" i="2"/>
  <c r="C4" i="11"/>
  <c r="C21" i="11"/>
  <c r="C20" i="10"/>
  <c r="C14" i="11"/>
  <c r="D20" i="8"/>
  <c r="C5" i="9"/>
  <c r="B20" i="17"/>
  <c r="C15" i="3"/>
  <c r="D19" i="8"/>
  <c r="C14" i="17"/>
  <c r="C19" i="10"/>
  <c r="C5" i="8"/>
  <c r="C8" i="11"/>
  <c r="C12" i="10"/>
  <c r="D8" i="25"/>
  <c r="K3" i="16"/>
  <c r="D13" i="23"/>
  <c r="B7" i="13"/>
  <c r="D14" i="23"/>
  <c r="C9" i="15"/>
  <c r="C15" i="17"/>
  <c r="C13" i="11"/>
  <c r="D23" i="8"/>
  <c r="C14" i="20"/>
  <c r="B4" i="17"/>
  <c r="C7" i="11"/>
  <c r="C49" i="9"/>
  <c r="D14" i="22"/>
  <c r="C20" i="9"/>
  <c r="C17" i="11"/>
  <c r="D7" i="25"/>
  <c r="E15" i="13"/>
  <c r="C4" i="10"/>
  <c r="C18" i="11"/>
  <c r="C24" i="10"/>
  <c r="B21" i="17"/>
  <c r="C11" i="9"/>
  <c r="D7" i="23"/>
  <c r="C17" i="19"/>
  <c r="C21" i="9"/>
  <c r="C13" i="2"/>
  <c r="C6" i="1"/>
  <c r="C16" i="3"/>
  <c r="D13" i="22"/>
  <c r="B5" i="17"/>
  <c r="C23" i="10"/>
  <c r="I3" i="16"/>
  <c r="C6" i="14"/>
  <c r="C16" i="17"/>
  <c r="C12" i="2"/>
  <c r="C19" i="9"/>
  <c r="D22" i="8"/>
  <c r="B23" i="17"/>
  <c r="D24" i="13"/>
  <c r="C3" i="12"/>
  <c r="D24" i="8"/>
  <c r="C19" i="3"/>
  <c r="B22" i="17"/>
  <c r="C15" i="20"/>
  <c r="D21" i="8"/>
  <c r="B11" i="11" l="1"/>
  <c r="J3" i="16"/>
  <c r="B8" i="11"/>
  <c r="C22" i="1"/>
  <c r="E9" i="7"/>
  <c r="B10" i="7" s="1"/>
  <c r="A21" i="3"/>
  <c r="B21" i="3" s="1"/>
  <c r="B13" i="11"/>
  <c r="B10" i="11"/>
  <c r="B7" i="11"/>
  <c r="B28" i="1"/>
  <c r="C28" i="1"/>
  <c r="B24" i="10"/>
  <c r="B12" i="1"/>
  <c r="A22" i="3"/>
  <c r="C7" i="25"/>
  <c r="C8" i="25" s="1"/>
  <c r="C9" i="25" s="1"/>
  <c r="C10" i="25" s="1"/>
  <c r="C11" i="25" s="1"/>
  <c r="C12" i="25" s="1"/>
  <c r="C13" i="25" s="1"/>
  <c r="C14" i="25" s="1"/>
  <c r="C15" i="25" s="1"/>
  <c r="C16" i="25" s="1"/>
  <c r="C26" i="8"/>
  <c r="C13" i="22"/>
  <c r="C13" i="23"/>
  <c r="D10" i="7"/>
  <c r="E10" i="7" s="1"/>
  <c r="B11" i="7" s="1"/>
  <c r="D8" i="8"/>
  <c r="E8" i="8" s="1"/>
  <c r="B9" i="8" s="1"/>
  <c r="B22" i="3" l="1"/>
  <c r="A23" i="3"/>
  <c r="D9" i="8"/>
  <c r="E9" i="8" s="1"/>
  <c r="B10" i="8" s="1"/>
  <c r="D11" i="7"/>
  <c r="E11" i="7" s="1"/>
  <c r="B12" i="7" s="1"/>
  <c r="B23" i="3" l="1"/>
  <c r="A24" i="3"/>
  <c r="D12" i="7"/>
  <c r="E12" i="7" s="1"/>
  <c r="B13" i="7" s="1"/>
  <c r="D10" i="8"/>
  <c r="E10" i="8" s="1"/>
  <c r="B11" i="8" s="1"/>
  <c r="B24" i="3" l="1"/>
  <c r="A25" i="3"/>
  <c r="D11" i="8"/>
  <c r="E11" i="8" s="1"/>
  <c r="B12" i="8" s="1"/>
  <c r="D13" i="7"/>
  <c r="E13" i="7" s="1"/>
  <c r="B14" i="7" s="1"/>
  <c r="B25" i="3" l="1"/>
  <c r="A26" i="3"/>
  <c r="D14" i="7"/>
  <c r="E14" i="7" s="1"/>
  <c r="B15" i="7" s="1"/>
  <c r="D12" i="8"/>
  <c r="E12" i="8" s="1"/>
  <c r="B13" i="8"/>
  <c r="D13" i="8" s="1"/>
  <c r="E13" i="8" s="1"/>
  <c r="B26" i="3" l="1"/>
  <c r="A27" i="3"/>
  <c r="D15" i="7"/>
  <c r="E15" i="7" s="1"/>
  <c r="B16" i="7" s="1"/>
  <c r="B27" i="3" l="1"/>
  <c r="A28" i="3"/>
  <c r="D16" i="7"/>
  <c r="E16" i="7" s="1"/>
  <c r="B17" i="7" s="1"/>
  <c r="B28" i="3" l="1"/>
  <c r="A29" i="3"/>
  <c r="D17" i="7"/>
  <c r="E17" i="7" s="1"/>
  <c r="B18" i="7" s="1"/>
  <c r="D18" i="7" s="1"/>
  <c r="E18" i="7" s="1"/>
  <c r="B29" i="3" l="1"/>
  <c r="A30" i="3"/>
  <c r="B30" i="3" l="1"/>
  <c r="A31" i="3"/>
  <c r="B31" i="3" l="1"/>
  <c r="A32" i="3"/>
  <c r="B32" i="3" l="1"/>
  <c r="A33" i="3"/>
  <c r="B33" i="3" l="1"/>
  <c r="A34" i="3"/>
  <c r="B34" i="3" s="1"/>
</calcChain>
</file>

<file path=xl/sharedStrings.xml><?xml version="1.0" encoding="utf-8"?>
<sst xmlns="http://schemas.openxmlformats.org/spreadsheetml/2006/main" count="341" uniqueCount="253">
  <si>
    <t>RATE used for payments made at the end of the period</t>
  </si>
  <si>
    <t>Initial payment</t>
  </si>
  <si>
    <t>Number of periods</t>
  </si>
  <si>
    <t>Annual payment</t>
  </si>
  <si>
    <t>Rate of return</t>
  </si>
  <si>
    <t>RATE used for payments made at the beginning of the period</t>
  </si>
  <si>
    <t>Year</t>
  </si>
  <si>
    <t>Payment
at end of
period</t>
  </si>
  <si>
    <t>Payment
at beginning
of period</t>
  </si>
  <si>
    <t>IRR</t>
  </si>
  <si>
    <t>What does RATE do?  Computing the IRR</t>
  </si>
  <si>
    <t>EXCEL'S NPV FUNCTION</t>
  </si>
  <si>
    <t>Discount rate</t>
  </si>
  <si>
    <t>Cash flow</t>
  </si>
  <si>
    <t>NPV</t>
  </si>
  <si>
    <t>EXCEL'S IRR FUNCTION</t>
  </si>
  <si>
    <t>MULTIPLE IRRs</t>
  </si>
  <si>
    <t>Cash
flow</t>
  </si>
  <si>
    <t>NPV table</t>
  </si>
  <si>
    <t>Payments made at the end of the period</t>
  </si>
  <si>
    <t>Rate</t>
  </si>
  <si>
    <t>Payment</t>
  </si>
  <si>
    <t>Present value</t>
  </si>
  <si>
    <t>Payments made at the beginning of the period</t>
  </si>
  <si>
    <t>Principal</t>
  </si>
  <si>
    <t>Interest</t>
  </si>
  <si>
    <t>Split of payment between</t>
  </si>
  <si>
    <t>THE PV FUNCTION</t>
  </si>
  <si>
    <t>THE PMT FUNCTION</t>
  </si>
  <si>
    <t>Principal at
beginning of year</t>
  </si>
  <si>
    <t>Repayment of principal</t>
  </si>
  <si>
    <t>HOW LONG TO PAY OFF THIS LOAN?</t>
  </si>
  <si>
    <t>Loan amount</t>
  </si>
  <si>
    <t>Interest rate</t>
  </si>
  <si>
    <t>Principal
at beginning
of year</t>
  </si>
  <si>
    <t>Payment
at end
of year</t>
  </si>
  <si>
    <t>Repayment 
of principal</t>
  </si>
  <si>
    <t>How does NPER work?</t>
  </si>
  <si>
    <t>Initial investment</t>
  </si>
  <si>
    <t>Years invested, t</t>
  </si>
  <si>
    <t>Interest rate, r</t>
  </si>
  <si>
    <t>Future value, FV</t>
  </si>
  <si>
    <t>Compounding periods per year, n</t>
  </si>
  <si>
    <t>Number of compounding
periods per year, n</t>
  </si>
  <si>
    <t>Future
value</t>
  </si>
  <si>
    <t>As n gets large, this 
converges to</t>
  </si>
  <si>
    <t>Future value</t>
  </si>
  <si>
    <t>What year received, t</t>
  </si>
  <si>
    <t>Present value, discrete discounting</t>
  </si>
  <si>
    <t>Present value, continuous discounting</t>
  </si>
  <si>
    <t>ANNUAL COMPOUNDING</t>
  </si>
  <si>
    <t>Discounting--discrete versus continuous</t>
  </si>
  <si>
    <t>Price of stock, t=0</t>
  </si>
  <si>
    <t>Price of stock, t=1</t>
  </si>
  <si>
    <t>Discretely compounded rate of return, r</t>
  </si>
  <si>
    <t>Continously compounded rate of return, r</t>
  </si>
  <si>
    <t>Intel stock</t>
  </si>
  <si>
    <t>Purchase date and price</t>
  </si>
  <si>
    <t>Sale date and price</t>
  </si>
  <si>
    <t>Elapsed time, t</t>
  </si>
  <si>
    <t>Continuously compounded rate of return, r</t>
  </si>
  <si>
    <t>Daily return, annualized</t>
  </si>
  <si>
    <t>Elapsed days</t>
  </si>
  <si>
    <t>Daily return</t>
  </si>
  <si>
    <t>Annualized</t>
  </si>
  <si>
    <t>Note</t>
  </si>
  <si>
    <t>Daily, continuously-compounded return</t>
  </si>
  <si>
    <t>Daily, discretely-compounded return</t>
  </si>
  <si>
    <t>USING LN TO COMPUTE CONTINUOUSLY 
COMPOUNDED RATES OF RETURN</t>
  </si>
  <si>
    <t>Number</t>
  </si>
  <si>
    <t>Round, no decimal places</t>
  </si>
  <si>
    <t>Round, 3 decimal places</t>
  </si>
  <si>
    <t>RoundDown, no decimal places</t>
  </si>
  <si>
    <t>RoundDown, 3 decimal places</t>
  </si>
  <si>
    <t>RoundUp, no decimal places</t>
  </si>
  <si>
    <t>RoundUp, 4 decimal places</t>
  </si>
  <si>
    <t>Truncate, no decimal places</t>
  </si>
  <si>
    <t>Truncate, 5 decimal places</t>
  </si>
  <si>
    <t>Rounded to 2 decimals</t>
  </si>
  <si>
    <t>Formatted to 2 decimals</t>
  </si>
  <si>
    <t>ROUNDING NUMBERS IN EXCEL</t>
  </si>
  <si>
    <t>SQRT</t>
  </si>
  <si>
    <t>Square root</t>
  </si>
  <si>
    <t>Equivalent way</t>
  </si>
  <si>
    <t>Score</t>
  </si>
  <si>
    <t>Score 1</t>
  </si>
  <si>
    <t>Score 2</t>
  </si>
  <si>
    <t>Asset</t>
  </si>
  <si>
    <t>Expected
return</t>
  </si>
  <si>
    <t>Portfolio
proportion</t>
  </si>
  <si>
    <t>Expected portfolio return</t>
  </si>
  <si>
    <t>THE IF FUNCTION</t>
  </si>
  <si>
    <t>Initial number</t>
  </si>
  <si>
    <t>If statement</t>
  </si>
  <si>
    <t>VLOOKUP FUNCTION</t>
  </si>
  <si>
    <t>Income</t>
  </si>
  <si>
    <t>Tax rate</t>
  </si>
  <si>
    <t>FIRST COLUMN OF VLOOKUP MUST BE SORTED</t>
  </si>
  <si>
    <t>Date</t>
  </si>
  <si>
    <t>Interest
rate</t>
  </si>
  <si>
    <t>Month</t>
  </si>
  <si>
    <t>Day</t>
  </si>
  <si>
    <t>Which 
month?</t>
  </si>
  <si>
    <t>Date
value</t>
  </si>
  <si>
    <t>JAN. 07,1991</t>
  </si>
  <si>
    <t>FEB. 07,1991</t>
  </si>
  <si>
    <t>Feb</t>
  </si>
  <si>
    <t>FEB. 11,1991</t>
  </si>
  <si>
    <t>VLookup table</t>
  </si>
  <si>
    <t>MAR. 04,1991</t>
  </si>
  <si>
    <t>Apr</t>
  </si>
  <si>
    <t>APR. 01,1991</t>
  </si>
  <si>
    <t>Aug</t>
  </si>
  <si>
    <t>JUN. 08,1991</t>
  </si>
  <si>
    <t>Dec</t>
  </si>
  <si>
    <t>AUG. 15,1991</t>
  </si>
  <si>
    <t>OCT. 22,1991</t>
  </si>
  <si>
    <t>Jan</t>
  </si>
  <si>
    <t>Jul</t>
  </si>
  <si>
    <t>Jun</t>
  </si>
  <si>
    <t>Mar</t>
  </si>
  <si>
    <t>May</t>
  </si>
  <si>
    <t>Nov</t>
  </si>
  <si>
    <t>Oct</t>
  </si>
  <si>
    <t>Sep</t>
  </si>
  <si>
    <t>Standard Excel date
format</t>
  </si>
  <si>
    <t>Number
equivalent</t>
  </si>
  <si>
    <t>Tax
rate</t>
  </si>
  <si>
    <t>TEXT FUNCTIONS IN EXCEL</t>
  </si>
  <si>
    <t>Twelve</t>
  </si>
  <si>
    <t>cows</t>
  </si>
  <si>
    <t>Number of cows</t>
  </si>
  <si>
    <t>Text</t>
  </si>
  <si>
    <t>15 pink flamingos went to the zoo</t>
  </si>
  <si>
    <t>Calls</t>
  </si>
  <si>
    <t>Last Sale</t>
  </si>
  <si>
    <t>Puts</t>
  </si>
  <si>
    <t>Symbol</t>
  </si>
  <si>
    <t>Exchange</t>
  </si>
  <si>
    <t>01 Aug 60.00 (GM HL-E)</t>
  </si>
  <si>
    <t>01 Aug 60.00 (GM TL-E)</t>
  </si>
  <si>
    <t>01 Aug 60.00 (GM HL-A)</t>
  </si>
  <si>
    <t>01 Aug 60.00 (GM TL-A)</t>
  </si>
  <si>
    <t>01 Aug 60.00 (GM HL-P)</t>
  </si>
  <si>
    <t>01 Aug 60.00 (GM TL-P)</t>
  </si>
  <si>
    <t>01 Aug 60.00 (GM HL-X)</t>
  </si>
  <si>
    <t>01 Aug 60.00 (GM TL-X)</t>
  </si>
  <si>
    <t>01 Aug 60.00 (GM HL-8)</t>
  </si>
  <si>
    <t>01 Aug 60.00 (GM TL-8)</t>
  </si>
  <si>
    <t>01 Aug 65.00 (GM HM-E)</t>
  </si>
  <si>
    <t>01 Aug 65.00 (GM TM-E)</t>
  </si>
  <si>
    <t>01 Aug 65.00 (GM HM-A)</t>
  </si>
  <si>
    <t>01 Aug 65.00 (GM TM-A)</t>
  </si>
  <si>
    <t>01 Aug 65.00 (GM HM-P)</t>
  </si>
  <si>
    <t>01 Aug 65.00 (GM TM-P)</t>
  </si>
  <si>
    <t>01 Aug 65.00 (GM HM-X)</t>
  </si>
  <si>
    <t>01 Aug 65.00 (GM TM-X)</t>
  </si>
  <si>
    <t>01 Aug 65.00 (GM HM-8)</t>
  </si>
  <si>
    <t>01 Aug 65.00 (GM TM-8)</t>
  </si>
  <si>
    <t>01 Aug 70.00 (GM HN-E)</t>
  </si>
  <si>
    <t>01 Aug 70.00 (GM TN-E)</t>
  </si>
  <si>
    <t>01 Aug 70.00 (GM HN-A)</t>
  </si>
  <si>
    <t>01 Aug 70.00 (GM TN-A)</t>
  </si>
  <si>
    <t>01 Aug 70.00 (GM HN-P)</t>
  </si>
  <si>
    <t>01 Aug 70.00 (GM TN-P)</t>
  </si>
  <si>
    <t>01 Aug 70.00 (GM HN-X)</t>
  </si>
  <si>
    <t>01 Aug 70.00 (GM TN-X)</t>
  </si>
  <si>
    <t>01 Aug 70.00 (GM HN-8)</t>
  </si>
  <si>
    <t>01 Aug 70.00 (GM TN-8)</t>
  </si>
  <si>
    <t>Other information</t>
  </si>
  <si>
    <t>Option exercise price</t>
  </si>
  <si>
    <r>
      <t xml:space="preserve">GENERAL MOTORS OPTION DATA
</t>
    </r>
    <r>
      <rPr>
        <b/>
        <sz val="12"/>
        <rFont val="Arial"/>
        <family val="2"/>
      </rPr>
      <t>Downloaded from Chicago Board of Options Exchange Web Site</t>
    </r>
  </si>
  <si>
    <t>Option expiration year and month</t>
  </si>
  <si>
    <t>Student</t>
  </si>
  <si>
    <t>Grade</t>
  </si>
  <si>
    <t>Average</t>
  </si>
  <si>
    <t>Median</t>
  </si>
  <si>
    <t>Large</t>
  </si>
  <si>
    <t>Rank</t>
  </si>
  <si>
    <t>COUNT, COUNTIF, COUNTA</t>
  </si>
  <si>
    <t>Terry</t>
  </si>
  <si>
    <t>Oliver</t>
  </si>
  <si>
    <t>Noah</t>
  </si>
  <si>
    <t>Sara</t>
  </si>
  <si>
    <t>Zvi</t>
  </si>
  <si>
    <t>List</t>
  </si>
  <si>
    <t>Count</t>
  </si>
  <si>
    <t>CountA</t>
  </si>
  <si>
    <t>CountIf</t>
  </si>
  <si>
    <t>Annual deposit to savings</t>
  </si>
  <si>
    <t>Deposit</t>
  </si>
  <si>
    <t>Value at end 
of year 5</t>
  </si>
  <si>
    <t>Total at end of 5 years</t>
  </si>
  <si>
    <t>SAVING FOR THE FUTURE
FV Type PARAMETER = 1</t>
  </si>
  <si>
    <t>SAVING FOR THE FUTURE
FV Type PARAMETER = 0</t>
  </si>
  <si>
    <t>Annual deposit to savings account</t>
  </si>
  <si>
    <t>Deposit to
account</t>
  </si>
  <si>
    <t>Total in
account</t>
  </si>
  <si>
    <t>Using PMT to do the calculation</t>
  </si>
  <si>
    <t>How long to pay 
off the loan?</t>
  </si>
  <si>
    <t>LOAN TABLE</t>
  </si>
  <si>
    <t>THE RATE FUNCTION
Compare to IRR</t>
  </si>
  <si>
    <r>
      <t xml:space="preserve">SAVING FOR THE FUTURE
Using the PMT function to compute a </t>
    </r>
    <r>
      <rPr>
        <b/>
        <u/>
        <sz val="14"/>
        <rFont val="Arial"/>
        <family val="2"/>
      </rPr>
      <t>future</t>
    </r>
    <r>
      <rPr>
        <b/>
        <sz val="14"/>
        <rFont val="Arial"/>
        <family val="2"/>
      </rPr>
      <t xml:space="preserve"> value</t>
    </r>
  </si>
  <si>
    <t>Maximum price</t>
  </si>
  <si>
    <t>USING IPMT AND PPMT</t>
  </si>
  <si>
    <t>Interest payment</t>
  </si>
  <si>
    <t>Principal payment</t>
  </si>
  <si>
    <t>Minimum price</t>
  </si>
  <si>
    <t>USING INDEX TO LOCATE A NUMBER IN AN ARRAY</t>
  </si>
  <si>
    <t>Row</t>
  </si>
  <si>
    <t>Column</t>
  </si>
  <si>
    <t>Number?</t>
  </si>
  <si>
    <t>10 times cell B17</t>
  </si>
  <si>
    <t>10 times cell B18</t>
  </si>
  <si>
    <t>DISCRETE VERSUS CONTINUOUS DISCOUNTING TWO PERIODS</t>
  </si>
  <si>
    <t>DISCRETE VERSUS CONTINUOUS DISCOUNTING 100 PERIODS</t>
  </si>
  <si>
    <t>SUMs</t>
  </si>
  <si>
    <t>USING MATCH AND INDEX TO LOCATE A VALUE IN AN ARRAY</t>
  </si>
  <si>
    <t>Citigroup closing price</t>
  </si>
  <si>
    <t>Where is the minimum?</t>
  </si>
  <si>
    <t>Date of the minimum price?</t>
  </si>
  <si>
    <r>
      <t xml:space="preserve">The syntax of </t>
    </r>
    <r>
      <rPr>
        <b/>
        <sz val="10"/>
        <rFont val="Arial"/>
        <family val="2"/>
      </rPr>
      <t xml:space="preserve">Match </t>
    </r>
    <r>
      <rPr>
        <sz val="10"/>
        <rFont val="Arial"/>
      </rPr>
      <t xml:space="preserve">is </t>
    </r>
    <r>
      <rPr>
        <b/>
        <sz val="10"/>
        <rFont val="Arial"/>
        <family val="2"/>
      </rPr>
      <t>Match(Lookup_value,Lookup_array,MatchType)</t>
    </r>
    <r>
      <rPr>
        <sz val="10"/>
        <rFont val="Arial"/>
      </rPr>
      <t xml:space="preserve">.
A note on the third parameter of </t>
    </r>
    <r>
      <rPr>
        <b/>
        <sz val="10"/>
        <rFont val="Arial"/>
        <family val="2"/>
      </rPr>
      <t xml:space="preserve">Match </t>
    </r>
    <r>
      <rPr>
        <sz val="10"/>
        <rFont val="Arial"/>
      </rPr>
      <t xml:space="preserve">(called </t>
    </r>
    <r>
      <rPr>
        <b/>
        <sz val="10"/>
        <rFont val="Arial"/>
        <family val="2"/>
      </rPr>
      <t>MatchType</t>
    </r>
    <r>
      <rPr>
        <sz val="10"/>
        <rFont val="Arial"/>
      </rPr>
      <t xml:space="preserve">):
If </t>
    </r>
    <r>
      <rPr>
        <b/>
        <sz val="10"/>
        <rFont val="Arial"/>
        <family val="2"/>
      </rPr>
      <t xml:space="preserve">MatchType </t>
    </r>
    <r>
      <rPr>
        <sz val="10"/>
        <rFont val="Arial"/>
      </rPr>
      <t xml:space="preserve">= 0 or is omitted, then </t>
    </r>
    <r>
      <rPr>
        <b/>
        <sz val="10"/>
        <rFont val="Arial"/>
        <family val="2"/>
      </rPr>
      <t xml:space="preserve">Match </t>
    </r>
    <r>
      <rPr>
        <sz val="10"/>
        <rFont val="Arial"/>
      </rPr>
      <t xml:space="preserve">finds the exact match of the </t>
    </r>
    <r>
      <rPr>
        <b/>
        <sz val="10"/>
        <rFont val="Arial"/>
        <family val="2"/>
      </rPr>
      <t>LookupValue</t>
    </r>
    <r>
      <rPr>
        <sz val="10"/>
        <rFont val="Arial"/>
      </rPr>
      <t xml:space="preserve">.
If </t>
    </r>
    <r>
      <rPr>
        <b/>
        <sz val="10"/>
        <rFont val="Arial"/>
        <family val="2"/>
      </rPr>
      <t xml:space="preserve">MatchType </t>
    </r>
    <r>
      <rPr>
        <sz val="10"/>
        <rFont val="Arial"/>
      </rPr>
      <t xml:space="preserve">= 1, then </t>
    </r>
    <r>
      <rPr>
        <b/>
        <sz val="10"/>
        <rFont val="Arial"/>
        <family val="2"/>
      </rPr>
      <t xml:space="preserve">Match </t>
    </r>
    <r>
      <rPr>
        <sz val="10"/>
        <rFont val="Arial"/>
      </rPr>
      <t xml:space="preserve">finds the smallest number larger than the </t>
    </r>
    <r>
      <rPr>
        <b/>
        <sz val="10"/>
        <rFont val="Arial"/>
        <family val="2"/>
      </rPr>
      <t>LookupValue</t>
    </r>
    <r>
      <rPr>
        <sz val="10"/>
        <rFont val="Arial"/>
      </rPr>
      <t xml:space="preserve">.
If </t>
    </r>
    <r>
      <rPr>
        <b/>
        <sz val="10"/>
        <rFont val="Arial"/>
        <family val="2"/>
      </rPr>
      <t xml:space="preserve">MatchType </t>
    </r>
    <r>
      <rPr>
        <sz val="10"/>
        <rFont val="Arial"/>
      </rPr>
      <t xml:space="preserve">= –1, then </t>
    </r>
    <r>
      <rPr>
        <b/>
        <sz val="10"/>
        <rFont val="Arial"/>
        <family val="2"/>
      </rPr>
      <t xml:space="preserve">Match </t>
    </r>
    <r>
      <rPr>
        <sz val="10"/>
        <rFont val="Arial"/>
      </rPr>
      <t xml:space="preserve">finds the smallest number larger than the </t>
    </r>
    <r>
      <rPr>
        <b/>
        <sz val="10"/>
        <rFont val="Arial"/>
        <family val="2"/>
      </rPr>
      <t>LookupValue</t>
    </r>
    <r>
      <rPr>
        <sz val="10"/>
        <rFont val="Arial"/>
      </rPr>
      <t>.</t>
    </r>
  </si>
  <si>
    <t>Page 701</t>
  </si>
  <si>
    <t>Page 702</t>
  </si>
  <si>
    <t>Page 703</t>
  </si>
  <si>
    <t>Page 704</t>
  </si>
  <si>
    <t>Page 705</t>
  </si>
  <si>
    <t>Page 706</t>
  </si>
  <si>
    <t>Page 707</t>
  </si>
  <si>
    <t>Page 707 bottom</t>
  </si>
  <si>
    <t>Page 708</t>
  </si>
  <si>
    <t>Page 709</t>
  </si>
  <si>
    <t>Page 711</t>
  </si>
  <si>
    <t>Page 711-712</t>
  </si>
  <si>
    <t>Page 713</t>
  </si>
  <si>
    <t>Page 714</t>
  </si>
  <si>
    <t>Pages 714-716</t>
  </si>
  <si>
    <t>Page 716</t>
  </si>
  <si>
    <t>Page 717</t>
  </si>
  <si>
    <t>Pages 717-718</t>
  </si>
  <si>
    <t>Page 719</t>
  </si>
  <si>
    <t>Page 719 bottom</t>
  </si>
  <si>
    <t>Pages 720-721</t>
  </si>
  <si>
    <t>Page 722</t>
  </si>
  <si>
    <t>Pages 723-724</t>
  </si>
  <si>
    <t>Page 725</t>
  </si>
  <si>
    <t>Page 727</t>
  </si>
  <si>
    <t>Page 727 bottom</t>
  </si>
  <si>
    <t>Page 750</t>
  </si>
  <si>
    <t>MEDIAN, LARGE, RANK</t>
  </si>
  <si>
    <t>Page</t>
  </si>
  <si>
    <t>Content</t>
  </si>
  <si>
    <t>CHAPTER 23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</si>
</sst>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000"/>
    <numFmt numFmtId="167" formatCode="0.00000"/>
    <numFmt numFmtId="168" formatCode="0.000000"/>
    <numFmt numFmtId="169" formatCode="0.000%"/>
    <numFmt numFmtId="170" formatCode="0.0000%"/>
    <numFmt numFmtId="171" formatCode="0.00000000"/>
    <numFmt numFmtId="172" formatCode="0.000000000000"/>
    <numFmt numFmtId="173" formatCode="0.0000000000000"/>
    <numFmt numFmtId="174" formatCode="[$-409]d\-mmm\-yy;@"/>
  </numFmts>
  <fonts count="13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u/>
      <sz val="10"/>
      <color theme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2" fillId="0" borderId="0"/>
  </cellStyleXfs>
  <cellXfs count="92">
    <xf numFmtId="0" fontId="0" fillId="0" borderId="0" xfId="0"/>
    <xf numFmtId="0" fontId="5" fillId="0" borderId="0" xfId="0" applyFont="1"/>
    <xf numFmtId="3" fontId="0" fillId="0" borderId="0" xfId="0" applyNumberFormat="1"/>
    <xf numFmtId="10" fontId="0" fillId="0" borderId="0" xfId="0" applyNumberFormat="1"/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6" fillId="0" borderId="0" xfId="0" applyFont="1"/>
    <xf numFmtId="9" fontId="0" fillId="0" borderId="0" xfId="0" applyNumberFormat="1"/>
    <xf numFmtId="8" fontId="0" fillId="0" borderId="0" xfId="0" applyNumberForma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164" fontId="2" fillId="0" borderId="0" xfId="1" applyNumberFormat="1"/>
    <xf numFmtId="0" fontId="4" fillId="0" borderId="0" xfId="0" applyFont="1" applyAlignment="1"/>
    <xf numFmtId="0" fontId="7" fillId="0" borderId="0" xfId="0" applyFont="1"/>
    <xf numFmtId="39" fontId="0" fillId="0" borderId="0" xfId="0" applyNumberFormat="1"/>
    <xf numFmtId="41" fontId="2" fillId="0" borderId="0" xfId="1" applyNumberFormat="1"/>
    <xf numFmtId="40" fontId="2" fillId="0" borderId="0" xfId="1" applyNumberFormat="1"/>
    <xf numFmtId="39" fontId="2" fillId="0" borderId="0" xfId="1" applyNumberFormat="1" applyAlignment="1">
      <alignment horizontal="center"/>
    </xf>
    <xf numFmtId="2" fontId="0" fillId="0" borderId="0" xfId="0" applyNumberFormat="1" applyAlignment="1">
      <alignment horizontal="center"/>
    </xf>
    <xf numFmtId="4" fontId="0" fillId="0" borderId="0" xfId="0" applyNumberFormat="1"/>
    <xf numFmtId="0" fontId="5" fillId="0" borderId="0" xfId="0" applyFont="1" applyAlignment="1">
      <alignment wrapText="1"/>
    </xf>
    <xf numFmtId="4" fontId="0" fillId="0" borderId="0" xfId="0" applyNumberFormat="1" applyAlignment="1">
      <alignment horizontal="center"/>
    </xf>
    <xf numFmtId="168" fontId="0" fillId="0" borderId="0" xfId="0" applyNumberFormat="1"/>
    <xf numFmtId="166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2" borderId="0" xfId="0" applyFill="1"/>
    <xf numFmtId="172" fontId="0" fillId="0" borderId="0" xfId="0" applyNumberFormat="1"/>
    <xf numFmtId="10" fontId="2" fillId="0" borderId="0" xfId="3" applyNumberFormat="1"/>
    <xf numFmtId="15" fontId="0" fillId="0" borderId="0" xfId="0" applyNumberFormat="1"/>
    <xf numFmtId="1" fontId="0" fillId="0" borderId="0" xfId="0" applyNumberFormat="1"/>
    <xf numFmtId="170" fontId="2" fillId="0" borderId="0" xfId="3" applyNumberFormat="1"/>
    <xf numFmtId="170" fontId="0" fillId="0" borderId="0" xfId="0" applyNumberFormat="1"/>
    <xf numFmtId="173" fontId="0" fillId="0" borderId="0" xfId="0" applyNumberFormat="1"/>
    <xf numFmtId="171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3" fontId="2" fillId="0" borderId="0" xfId="1" applyNumberFormat="1"/>
    <xf numFmtId="9" fontId="2" fillId="0" borderId="0" xfId="3"/>
    <xf numFmtId="14" fontId="0" fillId="0" borderId="0" xfId="0" applyNumberFormat="1"/>
    <xf numFmtId="4" fontId="0" fillId="2" borderId="0" xfId="0" applyNumberFormat="1" applyFill="1"/>
    <xf numFmtId="44" fontId="0" fillId="0" borderId="0" xfId="2" applyFont="1"/>
    <xf numFmtId="44" fontId="0" fillId="2" borderId="0" xfId="2" applyFont="1" applyFill="1"/>
    <xf numFmtId="8" fontId="0" fillId="2" borderId="0" xfId="2" applyNumberFormat="1" applyFont="1" applyFill="1"/>
    <xf numFmtId="0" fontId="0" fillId="2" borderId="0" xfId="0" applyFill="1" applyAlignment="1">
      <alignment wrapText="1"/>
    </xf>
    <xf numFmtId="166" fontId="0" fillId="2" borderId="0" xfId="0" applyNumberFormat="1" applyFill="1"/>
    <xf numFmtId="0" fontId="5" fillId="2" borderId="1" xfId="0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74" fontId="0" fillId="0" borderId="0" xfId="0" applyNumberFormat="1" applyAlignment="1">
      <alignment horizontal="center"/>
    </xf>
    <xf numFmtId="167" fontId="0" fillId="0" borderId="0" xfId="0" applyNumberFormat="1"/>
    <xf numFmtId="169" fontId="0" fillId="0" borderId="0" xfId="3" applyNumberFormat="1" applyFont="1"/>
    <xf numFmtId="0" fontId="0" fillId="0" borderId="0" xfId="0" applyFill="1" applyAlignment="1">
      <alignment vertical="center" wrapText="1"/>
    </xf>
    <xf numFmtId="0" fontId="0" fillId="3" borderId="0" xfId="0" applyFill="1"/>
    <xf numFmtId="0" fontId="2" fillId="0" borderId="0" xfId="0" applyFont="1"/>
    <xf numFmtId="2" fontId="0" fillId="3" borderId="0" xfId="0" applyNumberFormat="1" applyFill="1"/>
    <xf numFmtId="40" fontId="2" fillId="3" borderId="0" xfId="1" applyNumberFormat="1" applyFill="1"/>
    <xf numFmtId="0" fontId="2" fillId="3" borderId="0" xfId="0" applyFont="1" applyFill="1"/>
    <xf numFmtId="4" fontId="0" fillId="3" borderId="0" xfId="0" applyNumberFormat="1" applyFill="1"/>
    <xf numFmtId="0" fontId="1" fillId="0" borderId="0" xfId="4"/>
    <xf numFmtId="0" fontId="1" fillId="3" borderId="0" xfId="4" applyFill="1"/>
    <xf numFmtId="0" fontId="5" fillId="0" borderId="0" xfId="0" applyFont="1" applyAlignment="1">
      <alignment horizontal="center"/>
    </xf>
    <xf numFmtId="9" fontId="2" fillId="0" borderId="0" xfId="0" applyNumberFormat="1" applyFont="1"/>
    <xf numFmtId="7" fontId="2" fillId="0" borderId="0" xfId="0" applyNumberFormat="1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174" fontId="0" fillId="0" borderId="0" xfId="0" applyNumberFormat="1" applyFill="1" applyAlignment="1">
      <alignment horizontal="center"/>
    </xf>
    <xf numFmtId="2" fontId="0" fillId="0" borderId="0" xfId="0" applyNumberFormat="1" applyFill="1"/>
    <xf numFmtId="0" fontId="11" fillId="0" borderId="0" xfId="5"/>
    <xf numFmtId="0" fontId="5" fillId="0" borderId="0" xfId="6" applyFont="1"/>
    <xf numFmtId="0" fontId="12" fillId="0" borderId="0" xfId="6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0" xfId="4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7">
    <cellStyle name="Comma" xfId="1" builtinId="3"/>
    <cellStyle name="Currency" xfId="2" builtinId="4"/>
    <cellStyle name="Hyperlink" xfId="5" builtinId="8"/>
    <cellStyle name="Normal" xfId="0" builtinId="0"/>
    <cellStyle name="Normal 2" xfId="4"/>
    <cellStyle name="Normal 3" xfId="6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NPV of Cash Flows</a:t>
            </a:r>
          </a:p>
        </c:rich>
      </c:tx>
      <c:layout>
        <c:manualLayout>
          <c:xMode val="edge"/>
          <c:yMode val="edge"/>
          <c:x val="0.35813994156515894"/>
          <c:y val="4.273522108382206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279088252961771"/>
          <c:y val="0.21367610541910984"/>
          <c:w val="0.76744273192534052"/>
          <c:h val="0.58974605095674248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'Page 702'!$A$19:$A$34</c:f>
              <c:numCache>
                <c:formatCode>0%</c:formatCode>
                <c:ptCount val="16"/>
                <c:pt idx="0">
                  <c:v>0</c:v>
                </c:pt>
                <c:pt idx="1">
                  <c:v>0.12</c:v>
                </c:pt>
                <c:pt idx="2">
                  <c:v>0.24</c:v>
                </c:pt>
                <c:pt idx="3">
                  <c:v>0.36</c:v>
                </c:pt>
                <c:pt idx="4">
                  <c:v>0.48</c:v>
                </c:pt>
                <c:pt idx="5">
                  <c:v>0.6</c:v>
                </c:pt>
                <c:pt idx="6">
                  <c:v>0.72</c:v>
                </c:pt>
                <c:pt idx="7">
                  <c:v>0.84</c:v>
                </c:pt>
                <c:pt idx="8">
                  <c:v>0.96</c:v>
                </c:pt>
                <c:pt idx="9">
                  <c:v>1.08</c:v>
                </c:pt>
                <c:pt idx="10">
                  <c:v>1.2000000000000002</c:v>
                </c:pt>
                <c:pt idx="11">
                  <c:v>1.3200000000000003</c:v>
                </c:pt>
                <c:pt idx="12">
                  <c:v>1.4400000000000004</c:v>
                </c:pt>
                <c:pt idx="13">
                  <c:v>1.5600000000000005</c:v>
                </c:pt>
                <c:pt idx="14">
                  <c:v>1.6800000000000006</c:v>
                </c:pt>
                <c:pt idx="15">
                  <c:v>1.8000000000000007</c:v>
                </c:pt>
              </c:numCache>
            </c:numRef>
          </c:cat>
          <c:val>
            <c:numRef>
              <c:f>'Page 702'!$B$19:$B$34</c:f>
              <c:numCache>
                <c:formatCode>_(* #,##0_);_(* \(#,##0\);_(* "-"??_);_(@_)</c:formatCode>
                <c:ptCount val="16"/>
                <c:pt idx="0">
                  <c:v>-11000</c:v>
                </c:pt>
                <c:pt idx="1">
                  <c:v>25457.359937558562</c:v>
                </c:pt>
                <c:pt idx="2">
                  <c:v>26774.670792191057</c:v>
                </c:pt>
                <c:pt idx="3">
                  <c:v>21812.299923383827</c:v>
                </c:pt>
                <c:pt idx="4">
                  <c:v>16655.314819053103</c:v>
                </c:pt>
                <c:pt idx="5">
                  <c:v>12408.384271897376</c:v>
                </c:pt>
                <c:pt idx="6">
                  <c:v>9079.4777669989307</c:v>
                </c:pt>
                <c:pt idx="7">
                  <c:v>6479.7778754598075</c:v>
                </c:pt>
                <c:pt idx="8">
                  <c:v>4427.0455916546489</c:v>
                </c:pt>
                <c:pt idx="9">
                  <c:v>2780.7663683791125</c:v>
                </c:pt>
                <c:pt idx="10">
                  <c:v>1438.8175932301729</c:v>
                </c:pt>
                <c:pt idx="11">
                  <c:v>327.91518145258306</c:v>
                </c:pt>
                <c:pt idx="12">
                  <c:v>-604.77957642655929</c:v>
                </c:pt>
                <c:pt idx="13">
                  <c:v>-1397.8184597772906</c:v>
                </c:pt>
                <c:pt idx="14">
                  <c:v>-2079.7434141609374</c:v>
                </c:pt>
                <c:pt idx="15">
                  <c:v>-2672.01221230175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B7A-4D73-BD42-CE453B494D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132608"/>
        <c:axId val="239806336"/>
      </c:lineChart>
      <c:catAx>
        <c:axId val="238132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Discount rate</a:t>
                </a:r>
              </a:p>
            </c:rich>
          </c:tx>
          <c:layout>
            <c:manualLayout>
              <c:xMode val="edge"/>
              <c:yMode val="edge"/>
              <c:x val="0.45814005511906697"/>
              <c:y val="0.84615737745967579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806336"/>
        <c:crosses val="autoZero"/>
        <c:auto val="0"/>
        <c:lblAlgn val="ctr"/>
        <c:lblOffset val="100"/>
        <c:tickLblSkip val="2"/>
        <c:tickMarkSkip val="1"/>
        <c:noMultiLvlLbl val="0"/>
      </c:catAx>
      <c:valAx>
        <c:axId val="23980633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NPV ($)</a:t>
                </a:r>
              </a:p>
            </c:rich>
          </c:tx>
          <c:layout>
            <c:manualLayout>
              <c:xMode val="edge"/>
              <c:yMode val="edge"/>
              <c:x val="1.1627920180686981E-2"/>
              <c:y val="0.41880516662145567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??_);_(@_)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1326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0089" r="0.75000000000000089" t="1" header="0.5" footer="0.5"/>
    <c:pageSetup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Future Value as Function of Number
of Compounding Periods per Year</a:t>
            </a:r>
          </a:p>
        </c:rich>
      </c:tx>
      <c:layout>
        <c:manualLayout>
          <c:xMode val="edge"/>
          <c:yMode val="edge"/>
          <c:x val="0.19148980378667024"/>
          <c:y val="3.020139176769576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130058570798641"/>
          <c:y val="0.12080556707078292"/>
          <c:w val="0.79432807496692837"/>
          <c:h val="0.73154482281751865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711-712'!$A$19:$A$29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20</c:v>
                </c:pt>
              </c:numCache>
            </c:numRef>
          </c:xVal>
          <c:yVal>
            <c:numRef>
              <c:f>'Page 711-712'!$B$19:$B$29</c:f>
              <c:numCache>
                <c:formatCode>0.000</c:formatCode>
                <c:ptCount val="11"/>
                <c:pt idx="0">
                  <c:v>133.10000000000005</c:v>
                </c:pt>
                <c:pt idx="1">
                  <c:v>134.0095640625</c:v>
                </c:pt>
                <c:pt idx="2">
                  <c:v>134.32719687380492</c:v>
                </c:pt>
                <c:pt idx="3">
                  <c:v>134.48888242462976</c:v>
                </c:pt>
                <c:pt idx="4">
                  <c:v>134.58683383241294</c:v>
                </c:pt>
                <c:pt idx="5">
                  <c:v>134.65253169320872</c:v>
                </c:pt>
                <c:pt idx="6">
                  <c:v>134.69965481860694</c:v>
                </c:pt>
                <c:pt idx="7">
                  <c:v>134.73510504143508</c:v>
                </c:pt>
                <c:pt idx="8">
                  <c:v>134.76274165102851</c:v>
                </c:pt>
                <c:pt idx="9">
                  <c:v>134.78489153329062</c:v>
                </c:pt>
                <c:pt idx="10">
                  <c:v>134.88501525493038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E089-4882-A33D-6BD0E06E3B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2340608"/>
        <c:axId val="242342528"/>
      </c:scatterChart>
      <c:valAx>
        <c:axId val="242340608"/>
        <c:scaling>
          <c:orientation val="minMax"/>
          <c:max val="2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342528"/>
        <c:crosses val="autoZero"/>
        <c:crossBetween val="midCat"/>
        <c:majorUnit val="1"/>
      </c:valAx>
      <c:valAx>
        <c:axId val="242342528"/>
        <c:scaling>
          <c:orientation val="minMax"/>
        </c:scaling>
        <c:delete val="0"/>
        <c:axPos val="l"/>
        <c:numFmt formatCode="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3406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</xdr:row>
      <xdr:rowOff>28575</xdr:rowOff>
    </xdr:from>
    <xdr:to>
      <xdr:col>6</xdr:col>
      <xdr:colOff>561975</xdr:colOff>
      <xdr:row>13</xdr:row>
      <xdr:rowOff>152400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21</xdr:row>
      <xdr:rowOff>47625</xdr:rowOff>
    </xdr:from>
    <xdr:to>
      <xdr:col>5</xdr:col>
      <xdr:colOff>542925</xdr:colOff>
      <xdr:row>38</xdr:row>
      <xdr:rowOff>133350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xmlns="" id="{00000000-0008-0000-0B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468630</xdr:colOff>
      <xdr:row>9</xdr:row>
      <xdr:rowOff>142874</xdr:rowOff>
    </xdr:from>
    <xdr:to>
      <xdr:col>3</xdr:col>
      <xdr:colOff>161925</xdr:colOff>
      <xdr:row>11</xdr:row>
      <xdr:rowOff>144779</xdr:rowOff>
    </xdr:to>
    <xdr:sp macro="" textlink="">
      <xdr:nvSpPr>
        <xdr:cNvPr id="4100" name="Line 4">
          <a:extLst>
            <a:ext uri="{FF2B5EF4-FFF2-40B4-BE49-F238E27FC236}">
              <a16:creationId xmlns:a16="http://schemas.microsoft.com/office/drawing/2014/main" xmlns="" id="{00000000-0008-0000-1300-000004100000}"/>
            </a:ext>
          </a:extLst>
        </xdr:cNvPr>
        <xdr:cNvSpPr>
          <a:spLocks noChangeShapeType="1"/>
        </xdr:cNvSpPr>
      </xdr:nvSpPr>
      <xdr:spPr bwMode="auto">
        <a:xfrm flipV="1">
          <a:off x="1859280" y="1830704"/>
          <a:ext cx="1026795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415291</xdr:colOff>
      <xdr:row>10</xdr:row>
      <xdr:rowOff>9524</xdr:rowOff>
    </xdr:from>
    <xdr:to>
      <xdr:col>4</xdr:col>
      <xdr:colOff>57151</xdr:colOff>
      <xdr:row>11</xdr:row>
      <xdr:rowOff>148589</xdr:rowOff>
    </xdr:to>
    <xdr:sp macro="" textlink="">
      <xdr:nvSpPr>
        <xdr:cNvPr id="4101" name="Line 5">
          <a:extLst>
            <a:ext uri="{FF2B5EF4-FFF2-40B4-BE49-F238E27FC236}">
              <a16:creationId xmlns:a16="http://schemas.microsoft.com/office/drawing/2014/main" xmlns="" id="{00000000-0008-0000-1300-000005100000}"/>
            </a:ext>
          </a:extLst>
        </xdr:cNvPr>
        <xdr:cNvSpPr>
          <a:spLocks noChangeShapeType="1"/>
        </xdr:cNvSpPr>
      </xdr:nvSpPr>
      <xdr:spPr bwMode="auto">
        <a:xfrm flipV="1">
          <a:off x="3253741" y="1853564"/>
          <a:ext cx="50292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142874</xdr:colOff>
      <xdr:row>9</xdr:row>
      <xdr:rowOff>152399</xdr:rowOff>
    </xdr:from>
    <xdr:to>
      <xdr:col>5</xdr:col>
      <xdr:colOff>396239</xdr:colOff>
      <xdr:row>11</xdr:row>
      <xdr:rowOff>160019</xdr:rowOff>
    </xdr:to>
    <xdr:sp macro="" textlink="">
      <xdr:nvSpPr>
        <xdr:cNvPr id="4102" name="Line 6">
          <a:extLst>
            <a:ext uri="{FF2B5EF4-FFF2-40B4-BE49-F238E27FC236}">
              <a16:creationId xmlns:a16="http://schemas.microsoft.com/office/drawing/2014/main" xmlns="" id="{00000000-0008-0000-1300-000006100000}"/>
            </a:ext>
          </a:extLst>
        </xdr:cNvPr>
        <xdr:cNvSpPr>
          <a:spLocks noChangeShapeType="1"/>
        </xdr:cNvSpPr>
      </xdr:nvSpPr>
      <xdr:spPr bwMode="auto">
        <a:xfrm flipH="1" flipV="1">
          <a:off x="4086224" y="1840229"/>
          <a:ext cx="253365" cy="320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17</xdr:row>
      <xdr:rowOff>9525</xdr:rowOff>
    </xdr:from>
    <xdr:to>
      <xdr:col>0</xdr:col>
      <xdr:colOff>381000</xdr:colOff>
      <xdr:row>20</xdr:row>
      <xdr:rowOff>123825</xdr:rowOff>
    </xdr:to>
    <xdr:sp macro="" textlink="">
      <xdr:nvSpPr>
        <xdr:cNvPr id="5121" name="Line 1">
          <a:extLst>
            <a:ext uri="{FF2B5EF4-FFF2-40B4-BE49-F238E27FC236}">
              <a16:creationId xmlns:a16="http://schemas.microsoft.com/office/drawing/2014/main" xmlns="" id="{00000000-0008-0000-1500-000001140000}"/>
            </a:ext>
          </a:extLst>
        </xdr:cNvPr>
        <xdr:cNvSpPr>
          <a:spLocks noChangeShapeType="1"/>
        </xdr:cNvSpPr>
      </xdr:nvSpPr>
      <xdr:spPr bwMode="auto">
        <a:xfrm flipH="1" flipV="1">
          <a:off x="171450" y="3257550"/>
          <a:ext cx="209550" cy="600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1238250</xdr:colOff>
      <xdr:row>16</xdr:row>
      <xdr:rowOff>152400</xdr:rowOff>
    </xdr:from>
    <xdr:to>
      <xdr:col>1</xdr:col>
      <xdr:colOff>542925</xdr:colOff>
      <xdr:row>19</xdr:row>
      <xdr:rowOff>104775</xdr:rowOff>
    </xdr:to>
    <xdr:sp macro="" textlink="">
      <xdr:nvSpPr>
        <xdr:cNvPr id="5124" name="Line 4">
          <a:extLst>
            <a:ext uri="{FF2B5EF4-FFF2-40B4-BE49-F238E27FC236}">
              <a16:creationId xmlns:a16="http://schemas.microsoft.com/office/drawing/2014/main" xmlns="" id="{00000000-0008-0000-1500-000004140000}"/>
            </a:ext>
          </a:extLst>
        </xdr:cNvPr>
        <xdr:cNvSpPr>
          <a:spLocks noChangeShapeType="1"/>
        </xdr:cNvSpPr>
      </xdr:nvSpPr>
      <xdr:spPr bwMode="auto">
        <a:xfrm flipH="1" flipV="1">
          <a:off x="1238250" y="3238500"/>
          <a:ext cx="78105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200025</xdr:colOff>
      <xdr:row>3</xdr:row>
      <xdr:rowOff>9525</xdr:rowOff>
    </xdr:from>
    <xdr:to>
      <xdr:col>5</xdr:col>
      <xdr:colOff>257175</xdr:colOff>
      <xdr:row>5</xdr:row>
      <xdr:rowOff>95250</xdr:rowOff>
    </xdr:to>
    <xdr:sp macro="" textlink="">
      <xdr:nvSpPr>
        <xdr:cNvPr id="5125" name="Line 5">
          <a:extLst>
            <a:ext uri="{FF2B5EF4-FFF2-40B4-BE49-F238E27FC236}">
              <a16:creationId xmlns:a16="http://schemas.microsoft.com/office/drawing/2014/main" xmlns="" id="{00000000-0008-0000-1500-000005140000}"/>
            </a:ext>
          </a:extLst>
        </xdr:cNvPr>
        <xdr:cNvSpPr>
          <a:spLocks noChangeShapeType="1"/>
        </xdr:cNvSpPr>
      </xdr:nvSpPr>
      <xdr:spPr bwMode="auto">
        <a:xfrm flipV="1">
          <a:off x="4981575" y="990600"/>
          <a:ext cx="57150" cy="409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167640</xdr:colOff>
      <xdr:row>3</xdr:row>
      <xdr:rowOff>9524</xdr:rowOff>
    </xdr:from>
    <xdr:to>
      <xdr:col>6</xdr:col>
      <xdr:colOff>171450</xdr:colOff>
      <xdr:row>8</xdr:row>
      <xdr:rowOff>3809</xdr:rowOff>
    </xdr:to>
    <xdr:sp macro="" textlink="">
      <xdr:nvSpPr>
        <xdr:cNvPr id="5127" name="Line 7">
          <a:extLst>
            <a:ext uri="{FF2B5EF4-FFF2-40B4-BE49-F238E27FC236}">
              <a16:creationId xmlns:a16="http://schemas.microsoft.com/office/drawing/2014/main" xmlns="" id="{00000000-0008-0000-1500-000007140000}"/>
            </a:ext>
          </a:extLst>
        </xdr:cNvPr>
        <xdr:cNvSpPr>
          <a:spLocks noChangeShapeType="1"/>
        </xdr:cNvSpPr>
      </xdr:nvSpPr>
      <xdr:spPr bwMode="auto">
        <a:xfrm flipV="1">
          <a:off x="6587490" y="977264"/>
          <a:ext cx="3810" cy="77533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133350</xdr:colOff>
      <xdr:row>3</xdr:row>
      <xdr:rowOff>28575</xdr:rowOff>
    </xdr:from>
    <xdr:to>
      <xdr:col>7</xdr:col>
      <xdr:colOff>148590</xdr:colOff>
      <xdr:row>5</xdr:row>
      <xdr:rowOff>133350</xdr:rowOff>
    </xdr:to>
    <xdr:sp macro="" textlink="">
      <xdr:nvSpPr>
        <xdr:cNvPr id="5129" name="Line 9">
          <a:extLst>
            <a:ext uri="{FF2B5EF4-FFF2-40B4-BE49-F238E27FC236}">
              <a16:creationId xmlns:a16="http://schemas.microsoft.com/office/drawing/2014/main" xmlns="" id="{00000000-0008-0000-1500-000009140000}"/>
            </a:ext>
          </a:extLst>
        </xdr:cNvPr>
        <xdr:cNvSpPr>
          <a:spLocks noChangeShapeType="1"/>
        </xdr:cNvSpPr>
      </xdr:nvSpPr>
      <xdr:spPr bwMode="auto">
        <a:xfrm flipH="1" flipV="1">
          <a:off x="7162800" y="996315"/>
          <a:ext cx="15240" cy="41719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695325</xdr:colOff>
      <xdr:row>16</xdr:row>
      <xdr:rowOff>152400</xdr:rowOff>
    </xdr:from>
    <xdr:to>
      <xdr:col>2</xdr:col>
      <xdr:colOff>114300</xdr:colOff>
      <xdr:row>21</xdr:row>
      <xdr:rowOff>152400</xdr:rowOff>
    </xdr:to>
    <xdr:sp macro="" textlink="">
      <xdr:nvSpPr>
        <xdr:cNvPr id="5131" name="Line 11">
          <a:extLst>
            <a:ext uri="{FF2B5EF4-FFF2-40B4-BE49-F238E27FC236}">
              <a16:creationId xmlns:a16="http://schemas.microsoft.com/office/drawing/2014/main" xmlns="" id="{00000000-0008-0000-1500-00000B140000}"/>
            </a:ext>
          </a:extLst>
        </xdr:cNvPr>
        <xdr:cNvSpPr>
          <a:spLocks noChangeShapeType="1"/>
        </xdr:cNvSpPr>
      </xdr:nvSpPr>
      <xdr:spPr bwMode="auto">
        <a:xfrm flipH="1" flipV="1">
          <a:off x="695325" y="3238500"/>
          <a:ext cx="1504950" cy="809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B11" sqref="B11"/>
    </sheetView>
  </sheetViews>
  <sheetFormatPr defaultRowHeight="12.75" x14ac:dyDescent="0.2"/>
  <cols>
    <col min="1" max="1" width="14.28515625" bestFit="1" customWidth="1"/>
    <col min="2" max="2" width="84.7109375" bestFit="1" customWidth="1"/>
  </cols>
  <sheetData>
    <row r="1" spans="1:2" ht="15" x14ac:dyDescent="0.25">
      <c r="A1" s="78" t="s">
        <v>252</v>
      </c>
      <c r="B1" s="78"/>
    </row>
    <row r="2" spans="1:2" x14ac:dyDescent="0.2">
      <c r="A2" s="77" t="s">
        <v>250</v>
      </c>
      <c r="B2" s="77" t="s">
        <v>251</v>
      </c>
    </row>
    <row r="3" spans="1:2" x14ac:dyDescent="0.2">
      <c r="A3" s="76" t="s">
        <v>222</v>
      </c>
      <c r="B3" t="str">
        <f ca="1">INDIRECT(ADDRESS(1, 1, 1, 1,A3))</f>
        <v>EXCEL'S NPV FUNCTION</v>
      </c>
    </row>
    <row r="4" spans="1:2" x14ac:dyDescent="0.2">
      <c r="A4" s="76" t="s">
        <v>222</v>
      </c>
      <c r="B4" t="str">
        <f ca="1">INDIRECT(ADDRESS(8, 1, 1, 1,A4))</f>
        <v>EXCEL'S IRR FUNCTION</v>
      </c>
    </row>
    <row r="5" spans="1:2" x14ac:dyDescent="0.2">
      <c r="A5" s="76" t="s">
        <v>223</v>
      </c>
      <c r="B5" t="str">
        <f t="shared" ref="B5:B30" ca="1" si="0">INDIRECT(ADDRESS(1, 1, 1, 1,A5))</f>
        <v>MULTIPLE IRRs</v>
      </c>
    </row>
    <row r="6" spans="1:2" x14ac:dyDescent="0.2">
      <c r="A6" s="76" t="s">
        <v>224</v>
      </c>
      <c r="B6" t="str">
        <f t="shared" ca="1" si="0"/>
        <v>SAVING FOR THE FUTURE
FV Type PARAMETER = 1</v>
      </c>
    </row>
    <row r="7" spans="1:2" x14ac:dyDescent="0.2">
      <c r="A7" s="76" t="s">
        <v>225</v>
      </c>
      <c r="B7" t="str">
        <f t="shared" ca="1" si="0"/>
        <v>SAVING FOR THE FUTURE
FV Type PARAMETER = 0</v>
      </c>
    </row>
    <row r="8" spans="1:2" x14ac:dyDescent="0.2">
      <c r="A8" s="76" t="s">
        <v>226</v>
      </c>
      <c r="B8" t="str">
        <f t="shared" ca="1" si="0"/>
        <v>THE PV FUNCTION</v>
      </c>
    </row>
    <row r="9" spans="1:2" x14ac:dyDescent="0.2">
      <c r="A9" s="76" t="s">
        <v>227</v>
      </c>
      <c r="B9" t="str">
        <f t="shared" ca="1" si="0"/>
        <v>THE PMT FUNCTION</v>
      </c>
    </row>
    <row r="10" spans="1:2" x14ac:dyDescent="0.2">
      <c r="A10" s="76" t="s">
        <v>228</v>
      </c>
      <c r="B10" t="str">
        <f t="shared" ca="1" si="0"/>
        <v>LOAN TABLE</v>
      </c>
    </row>
    <row r="11" spans="1:2" x14ac:dyDescent="0.2">
      <c r="A11" s="76" t="s">
        <v>229</v>
      </c>
      <c r="B11" t="str">
        <f t="shared" ca="1" si="0"/>
        <v>USING IPMT AND PPMT</v>
      </c>
    </row>
    <row r="12" spans="1:2" x14ac:dyDescent="0.2">
      <c r="A12" s="76" t="s">
        <v>230</v>
      </c>
      <c r="B12" t="str">
        <f t="shared" ca="1" si="0"/>
        <v>SAVING FOR THE FUTURE
Using the PMT function to compute a future value</v>
      </c>
    </row>
    <row r="13" spans="1:2" x14ac:dyDescent="0.2">
      <c r="A13" s="76" t="s">
        <v>231</v>
      </c>
      <c r="B13" t="str">
        <f t="shared" ca="1" si="0"/>
        <v>THE RATE FUNCTION
Compare to IRR</v>
      </c>
    </row>
    <row r="14" spans="1:2" x14ac:dyDescent="0.2">
      <c r="A14" s="76" t="s">
        <v>232</v>
      </c>
      <c r="B14" t="str">
        <f t="shared" ca="1" si="0"/>
        <v>HOW LONG TO PAY OFF THIS LOAN?</v>
      </c>
    </row>
    <row r="15" spans="1:2" x14ac:dyDescent="0.2">
      <c r="A15" s="76" t="s">
        <v>233</v>
      </c>
      <c r="B15" t="str">
        <f t="shared" ca="1" si="0"/>
        <v>ANNUAL COMPOUNDING</v>
      </c>
    </row>
    <row r="16" spans="1:2" x14ac:dyDescent="0.2">
      <c r="A16" s="76" t="s">
        <v>234</v>
      </c>
      <c r="B16" t="str">
        <f t="shared" ca="1" si="0"/>
        <v>DISCRETE VERSUS CONTINUOUS DISCOUNTING TWO PERIODS</v>
      </c>
    </row>
    <row r="17" spans="1:2" x14ac:dyDescent="0.2">
      <c r="A17" s="76" t="s">
        <v>235</v>
      </c>
      <c r="B17" t="str">
        <f t="shared" ca="1" si="0"/>
        <v>DISCRETE VERSUS CONTINUOUS DISCOUNTING 100 PERIODS</v>
      </c>
    </row>
    <row r="18" spans="1:2" x14ac:dyDescent="0.2">
      <c r="A18" s="76" t="s">
        <v>236</v>
      </c>
      <c r="B18" t="str">
        <f t="shared" ca="1" si="0"/>
        <v>USING LN TO COMPUTE CONTINUOUSLY 
COMPOUNDED RATES OF RETURN</v>
      </c>
    </row>
    <row r="19" spans="1:2" x14ac:dyDescent="0.2">
      <c r="A19" s="76" t="s">
        <v>237</v>
      </c>
      <c r="B19" t="str">
        <f t="shared" ca="1" si="0"/>
        <v>ROUNDING NUMBERS IN EXCEL</v>
      </c>
    </row>
    <row r="20" spans="1:2" x14ac:dyDescent="0.2">
      <c r="A20" s="76" t="s">
        <v>238</v>
      </c>
      <c r="B20" t="str">
        <f t="shared" ca="1" si="0"/>
        <v>SQRT</v>
      </c>
    </row>
    <row r="21" spans="1:2" x14ac:dyDescent="0.2">
      <c r="A21" s="76" t="s">
        <v>239</v>
      </c>
      <c r="B21" t="str">
        <f t="shared" ca="1" si="0"/>
        <v>SUMs</v>
      </c>
    </row>
    <row r="22" spans="1:2" x14ac:dyDescent="0.2">
      <c r="A22" s="76" t="s">
        <v>240</v>
      </c>
      <c r="B22" t="str">
        <f t="shared" ca="1" si="0"/>
        <v>THE IF FUNCTION</v>
      </c>
    </row>
    <row r="23" spans="1:2" x14ac:dyDescent="0.2">
      <c r="A23" s="76" t="s">
        <v>241</v>
      </c>
      <c r="B23" t="str">
        <f t="shared" ca="1" si="0"/>
        <v>VLOOKUP FUNCTION</v>
      </c>
    </row>
    <row r="24" spans="1:2" x14ac:dyDescent="0.2">
      <c r="A24" s="76" t="s">
        <v>242</v>
      </c>
      <c r="B24" t="str">
        <f t="shared" ca="1" si="0"/>
        <v>FIRST COLUMN OF VLOOKUP MUST BE SORTED</v>
      </c>
    </row>
    <row r="25" spans="1:2" x14ac:dyDescent="0.2">
      <c r="A25" s="76" t="s">
        <v>243</v>
      </c>
      <c r="B25" t="str">
        <f t="shared" ca="1" si="0"/>
        <v>TEXT FUNCTIONS IN EXCEL</v>
      </c>
    </row>
    <row r="26" spans="1:2" x14ac:dyDescent="0.2">
      <c r="A26" s="76" t="s">
        <v>244</v>
      </c>
      <c r="B26" t="str">
        <f t="shared" ca="1" si="0"/>
        <v>GENERAL MOTORS OPTION DATA
Downloaded from Chicago Board of Options Exchange Web Site</v>
      </c>
    </row>
    <row r="27" spans="1:2" x14ac:dyDescent="0.2">
      <c r="A27" s="76" t="s">
        <v>245</v>
      </c>
      <c r="B27" t="str">
        <f t="shared" ca="1" si="0"/>
        <v>MEDIAN, LARGE, RANK</v>
      </c>
    </row>
    <row r="28" spans="1:2" x14ac:dyDescent="0.2">
      <c r="A28" s="76" t="s">
        <v>246</v>
      </c>
      <c r="B28" t="str">
        <f t="shared" ca="1" si="0"/>
        <v>COUNT, COUNTIF, COUNTA</v>
      </c>
    </row>
    <row r="29" spans="1:2" x14ac:dyDescent="0.2">
      <c r="A29" s="76" t="s">
        <v>247</v>
      </c>
      <c r="B29" t="str">
        <f t="shared" ca="1" si="0"/>
        <v>USING INDEX TO LOCATE A NUMBER IN AN ARRAY</v>
      </c>
    </row>
    <row r="30" spans="1:2" x14ac:dyDescent="0.2">
      <c r="A30" s="76" t="s">
        <v>248</v>
      </c>
      <c r="B30" t="str">
        <f t="shared" ca="1" si="0"/>
        <v>USING MATCH AND INDEX TO LOCATE A VALUE IN AN ARRAY</v>
      </c>
    </row>
  </sheetData>
  <mergeCells count="1">
    <mergeCell ref="A1:B1"/>
  </mergeCells>
  <hyperlinks>
    <hyperlink ref="A3" location="'Page 701'!A1" display="Page 701"/>
    <hyperlink ref="A5" location="'Page 702'!A1" display="Page 702"/>
    <hyperlink ref="A6" location="'Page 703'!A1" display="Page 703"/>
    <hyperlink ref="A7" location="'Page 704'!A1" display="Page 704"/>
    <hyperlink ref="A8" location="'Page 705'!A1" display="Page 705"/>
    <hyperlink ref="A9" location="'Page 706'!A1" display="Page 706"/>
    <hyperlink ref="A10" location="'Page 707'!A1" display="Page 707"/>
    <hyperlink ref="A11" location="'Page 707 bottom'!A1" display="Page 707 bottom"/>
    <hyperlink ref="A12" location="'Page 708'!A1" display="Page 708"/>
    <hyperlink ref="A13" location="'Page 709'!A1" display="Page 709"/>
    <hyperlink ref="A14" location="'Page 711'!A1" display="Page 711"/>
    <hyperlink ref="A15" location="'Page 711-712'!A1" display="Page 711-712"/>
    <hyperlink ref="A16" location="'Page 713'!A1" display="Page 713"/>
    <hyperlink ref="A17" location="'Page 714'!A1" display="Page 714"/>
    <hyperlink ref="A18" location="'Pages 714-716'!A1" display="Pages 714-716"/>
    <hyperlink ref="A19" location="'Page 716'!A1" display="Page 716"/>
    <hyperlink ref="A20" location="'Page 717'!A1" display="Page 717"/>
    <hyperlink ref="A21" location="'Pages 717-718'!A1" display="Pages 717-718"/>
    <hyperlink ref="A22" location="'Page 719'!A1" display="Page 719"/>
    <hyperlink ref="A23" location="'Page 719 bottom'!A1" display="Page 719 bottom"/>
    <hyperlink ref="A24" location="'Pages 720-721'!A1" display="Pages 720-721"/>
    <hyperlink ref="A25" location="'Page 722'!A1" display="Page 722"/>
    <hyperlink ref="A26" location="'Pages 723-724'!A1" display="Pages 723-724"/>
    <hyperlink ref="A27" location="'Page 725'!A1" display="Page 725"/>
    <hyperlink ref="A28" location="'Page 727'!A1" display="Page 727"/>
    <hyperlink ref="A29" location="'Page 727 bottom'!A1" display="Page 727 bottom"/>
    <hyperlink ref="A30" location="'Page 750'!A1" display="Page 750"/>
    <hyperlink ref="A4" location="'Page 701'!A1" display="Page 70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13"/>
  <sheetViews>
    <sheetView workbookViewId="0">
      <selection sqref="A1:XFD1"/>
    </sheetView>
  </sheetViews>
  <sheetFormatPr defaultRowHeight="12.75" x14ac:dyDescent="0.2"/>
  <cols>
    <col min="1" max="1" width="13" customWidth="1"/>
  </cols>
  <sheetData>
    <row r="1" spans="1:7" ht="18" x14ac:dyDescent="0.25">
      <c r="A1" s="79" t="s">
        <v>11</v>
      </c>
      <c r="B1" s="79"/>
      <c r="C1" s="79"/>
      <c r="D1" s="79"/>
      <c r="E1" s="79"/>
      <c r="F1" s="79"/>
      <c r="G1" s="79"/>
    </row>
    <row r="2" spans="1:7" x14ac:dyDescent="0.2">
      <c r="A2" t="s">
        <v>12</v>
      </c>
      <c r="B2" s="10">
        <v>0.1</v>
      </c>
    </row>
    <row r="3" spans="1:7" x14ac:dyDescent="0.2">
      <c r="A3" t="s">
        <v>6</v>
      </c>
      <c r="B3">
        <v>0</v>
      </c>
      <c r="C3">
        <v>1</v>
      </c>
      <c r="D3">
        <v>2</v>
      </c>
      <c r="E3">
        <v>3</v>
      </c>
      <c r="F3">
        <v>4</v>
      </c>
      <c r="G3">
        <v>5</v>
      </c>
    </row>
    <row r="4" spans="1:7" x14ac:dyDescent="0.2">
      <c r="A4" t="s">
        <v>13</v>
      </c>
      <c r="B4">
        <v>-100</v>
      </c>
      <c r="C4">
        <v>35</v>
      </c>
      <c r="D4">
        <v>33</v>
      </c>
      <c r="E4">
        <v>34</v>
      </c>
      <c r="F4">
        <v>25</v>
      </c>
      <c r="G4">
        <v>16</v>
      </c>
    </row>
    <row r="6" spans="1:7" x14ac:dyDescent="0.2">
      <c r="A6" t="s">
        <v>14</v>
      </c>
      <c r="B6" s="11">
        <f>NPV(B2,C4:G4)+B4</f>
        <v>11.645689874635963</v>
      </c>
      <c r="C6" t="e">
        <f ca="1">getformula(B6)</f>
        <v>#NAME?</v>
      </c>
    </row>
    <row r="8" spans="1:7" ht="18" x14ac:dyDescent="0.25">
      <c r="A8" s="79" t="s">
        <v>15</v>
      </c>
      <c r="B8" s="79"/>
      <c r="C8" s="79"/>
      <c r="D8" s="79"/>
      <c r="E8" s="79"/>
      <c r="F8" s="79"/>
      <c r="G8" s="79"/>
    </row>
    <row r="9" spans="1:7" x14ac:dyDescent="0.2">
      <c r="A9" t="s">
        <v>6</v>
      </c>
      <c r="B9">
        <v>0</v>
      </c>
      <c r="C9">
        <v>1</v>
      </c>
      <c r="D9">
        <v>2</v>
      </c>
      <c r="E9">
        <v>3</v>
      </c>
      <c r="F9">
        <v>4</v>
      </c>
      <c r="G9">
        <v>5</v>
      </c>
    </row>
    <row r="10" spans="1:7" x14ac:dyDescent="0.2">
      <c r="A10" t="s">
        <v>13</v>
      </c>
      <c r="B10">
        <v>-100</v>
      </c>
      <c r="C10">
        <v>35</v>
      </c>
      <c r="D10">
        <v>33</v>
      </c>
      <c r="E10">
        <v>34</v>
      </c>
      <c r="F10">
        <v>25</v>
      </c>
      <c r="G10">
        <v>16</v>
      </c>
    </row>
    <row r="12" spans="1:7" x14ac:dyDescent="0.2">
      <c r="A12" t="s">
        <v>9</v>
      </c>
      <c r="B12" s="3">
        <f>IRR(B10:G10,0)</f>
        <v>0.14996110296982978</v>
      </c>
      <c r="C12" t="e">
        <f ca="1">getformula(B12)</f>
        <v>#NAME?</v>
      </c>
    </row>
    <row r="13" spans="1:7" x14ac:dyDescent="0.2">
      <c r="B13" s="3">
        <f>IRR(B10:G10)</f>
        <v>0.14996110296982978</v>
      </c>
      <c r="C13" t="e">
        <f ca="1">getformula(B13)</f>
        <v>#NAME?</v>
      </c>
    </row>
  </sheetData>
  <mergeCells count="2">
    <mergeCell ref="A1:G1"/>
    <mergeCell ref="A8:G8"/>
  </mergeCells>
  <phoneticPr fontId="3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&amp;CUN-22B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C34"/>
  <sheetViews>
    <sheetView workbookViewId="0">
      <selection sqref="A1:C1"/>
    </sheetView>
  </sheetViews>
  <sheetFormatPr defaultRowHeight="12.75" x14ac:dyDescent="0.2"/>
  <cols>
    <col min="1" max="1" width="13.42578125" customWidth="1"/>
    <col min="3" max="3" width="29.28515625" customWidth="1"/>
  </cols>
  <sheetData>
    <row r="1" spans="1:3" ht="18" x14ac:dyDescent="0.25">
      <c r="A1" s="79" t="s">
        <v>16</v>
      </c>
      <c r="B1" s="79"/>
      <c r="C1" s="79"/>
    </row>
    <row r="2" spans="1:3" ht="25.5" x14ac:dyDescent="0.2">
      <c r="A2" s="12" t="s">
        <v>6</v>
      </c>
      <c r="B2" s="13" t="s">
        <v>17</v>
      </c>
    </row>
    <row r="3" spans="1:3" x14ac:dyDescent="0.2">
      <c r="A3">
        <v>0</v>
      </c>
      <c r="B3" s="2">
        <v>-11000</v>
      </c>
    </row>
    <row r="4" spans="1:3" x14ac:dyDescent="0.2">
      <c r="A4">
        <v>1</v>
      </c>
      <c r="B4" s="2">
        <v>15000</v>
      </c>
    </row>
    <row r="5" spans="1:3" x14ac:dyDescent="0.2">
      <c r="A5">
        <v>2</v>
      </c>
      <c r="B5" s="2">
        <v>15000</v>
      </c>
    </row>
    <row r="6" spans="1:3" x14ac:dyDescent="0.2">
      <c r="A6">
        <v>3</v>
      </c>
      <c r="B6" s="2">
        <v>15000</v>
      </c>
    </row>
    <row r="7" spans="1:3" x14ac:dyDescent="0.2">
      <c r="A7">
        <v>4</v>
      </c>
      <c r="B7" s="2">
        <v>15000</v>
      </c>
    </row>
    <row r="8" spans="1:3" x14ac:dyDescent="0.2">
      <c r="A8">
        <v>5</v>
      </c>
      <c r="B8" s="2">
        <v>15000</v>
      </c>
    </row>
    <row r="9" spans="1:3" x14ac:dyDescent="0.2">
      <c r="A9">
        <v>6</v>
      </c>
      <c r="B9" s="2">
        <v>15000</v>
      </c>
    </row>
    <row r="10" spans="1:3" x14ac:dyDescent="0.2">
      <c r="A10">
        <v>7</v>
      </c>
      <c r="B10" s="2">
        <v>15000</v>
      </c>
    </row>
    <row r="11" spans="1:3" x14ac:dyDescent="0.2">
      <c r="A11">
        <v>8</v>
      </c>
      <c r="B11" s="2">
        <v>15000</v>
      </c>
    </row>
    <row r="12" spans="1:3" x14ac:dyDescent="0.2">
      <c r="A12">
        <v>9</v>
      </c>
      <c r="B12" s="2">
        <v>15000</v>
      </c>
    </row>
    <row r="13" spans="1:3" x14ac:dyDescent="0.2">
      <c r="A13">
        <v>10</v>
      </c>
      <c r="B13" s="2">
        <v>-135000</v>
      </c>
    </row>
    <row r="15" spans="1:3" x14ac:dyDescent="0.2">
      <c r="A15" t="s">
        <v>9</v>
      </c>
      <c r="B15" s="3">
        <f>IRR(B3:B13,0)</f>
        <v>1.8644788898824149E-2</v>
      </c>
      <c r="C15" t="e">
        <f ca="1">getformula(B15)&amp;", guess = 0"</f>
        <v>#NAME?</v>
      </c>
    </row>
    <row r="16" spans="1:3" x14ac:dyDescent="0.2">
      <c r="A16" t="s">
        <v>9</v>
      </c>
      <c r="B16" s="3">
        <f>IRR(B3:B13,2)</f>
        <v>1.3599205495612048</v>
      </c>
      <c r="C16" t="e">
        <f ca="1">getformula(B16)&amp;", guess = 2"</f>
        <v>#NAME?</v>
      </c>
    </row>
    <row r="18" spans="1:3" x14ac:dyDescent="0.2">
      <c r="A18" s="80" t="s">
        <v>18</v>
      </c>
      <c r="B18" s="80"/>
    </row>
    <row r="19" spans="1:3" x14ac:dyDescent="0.2">
      <c r="A19" s="10">
        <v>0</v>
      </c>
      <c r="B19" s="14">
        <f t="shared" ref="B19:B34" si="0">$B$3+NPV(A19,$B$4:$B$13)</f>
        <v>-11000</v>
      </c>
      <c r="C19" t="e">
        <f ca="1">getformula(B19)</f>
        <v>#NAME?</v>
      </c>
    </row>
    <row r="20" spans="1:3" x14ac:dyDescent="0.2">
      <c r="A20" s="10">
        <f t="shared" ref="A20:A34" si="1">A19+12%</f>
        <v>0.12</v>
      </c>
      <c r="B20" s="14">
        <f t="shared" si="0"/>
        <v>25457.359937558562</v>
      </c>
      <c r="C20" t="e">
        <f ca="1">getformula(B20)</f>
        <v>#NAME?</v>
      </c>
    </row>
    <row r="21" spans="1:3" x14ac:dyDescent="0.2">
      <c r="A21" s="10">
        <f t="shared" si="1"/>
        <v>0.24</v>
      </c>
      <c r="B21" s="14">
        <f t="shared" si="0"/>
        <v>26774.670792191057</v>
      </c>
    </row>
    <row r="22" spans="1:3" x14ac:dyDescent="0.2">
      <c r="A22" s="10">
        <f t="shared" si="1"/>
        <v>0.36</v>
      </c>
      <c r="B22" s="14">
        <f t="shared" si="0"/>
        <v>21812.299923383827</v>
      </c>
    </row>
    <row r="23" spans="1:3" x14ac:dyDescent="0.2">
      <c r="A23" s="10">
        <f t="shared" si="1"/>
        <v>0.48</v>
      </c>
      <c r="B23" s="14">
        <f t="shared" si="0"/>
        <v>16655.314819053103</v>
      </c>
    </row>
    <row r="24" spans="1:3" x14ac:dyDescent="0.2">
      <c r="A24" s="10">
        <f t="shared" si="1"/>
        <v>0.6</v>
      </c>
      <c r="B24" s="14">
        <f t="shared" si="0"/>
        <v>12408.384271897376</v>
      </c>
    </row>
    <row r="25" spans="1:3" x14ac:dyDescent="0.2">
      <c r="A25" s="10">
        <f t="shared" si="1"/>
        <v>0.72</v>
      </c>
      <c r="B25" s="14">
        <f t="shared" si="0"/>
        <v>9079.4777669989307</v>
      </c>
    </row>
    <row r="26" spans="1:3" x14ac:dyDescent="0.2">
      <c r="A26" s="10">
        <f t="shared" si="1"/>
        <v>0.84</v>
      </c>
      <c r="B26" s="14">
        <f t="shared" si="0"/>
        <v>6479.7778754598075</v>
      </c>
    </row>
    <row r="27" spans="1:3" x14ac:dyDescent="0.2">
      <c r="A27" s="10">
        <f t="shared" si="1"/>
        <v>0.96</v>
      </c>
      <c r="B27" s="14">
        <f t="shared" si="0"/>
        <v>4427.0455916546489</v>
      </c>
    </row>
    <row r="28" spans="1:3" x14ac:dyDescent="0.2">
      <c r="A28" s="10">
        <f t="shared" si="1"/>
        <v>1.08</v>
      </c>
      <c r="B28" s="14">
        <f t="shared" si="0"/>
        <v>2780.7663683791125</v>
      </c>
    </row>
    <row r="29" spans="1:3" x14ac:dyDescent="0.2">
      <c r="A29" s="10">
        <f t="shared" si="1"/>
        <v>1.2000000000000002</v>
      </c>
      <c r="B29" s="14">
        <f t="shared" si="0"/>
        <v>1438.8175932301729</v>
      </c>
    </row>
    <row r="30" spans="1:3" x14ac:dyDescent="0.2">
      <c r="A30" s="10">
        <f t="shared" si="1"/>
        <v>1.3200000000000003</v>
      </c>
      <c r="B30" s="14">
        <f t="shared" si="0"/>
        <v>327.91518145258306</v>
      </c>
    </row>
    <row r="31" spans="1:3" x14ac:dyDescent="0.2">
      <c r="A31" s="10">
        <f t="shared" si="1"/>
        <v>1.4400000000000004</v>
      </c>
      <c r="B31" s="14">
        <f t="shared" si="0"/>
        <v>-604.77957642655929</v>
      </c>
    </row>
    <row r="32" spans="1:3" x14ac:dyDescent="0.2">
      <c r="A32" s="10">
        <f t="shared" si="1"/>
        <v>1.5600000000000005</v>
      </c>
      <c r="B32" s="14">
        <f t="shared" si="0"/>
        <v>-1397.8184597772906</v>
      </c>
    </row>
    <row r="33" spans="1:2" x14ac:dyDescent="0.2">
      <c r="A33" s="10">
        <f t="shared" si="1"/>
        <v>1.6800000000000006</v>
      </c>
      <c r="B33" s="14">
        <f t="shared" si="0"/>
        <v>-2079.7434141609374</v>
      </c>
    </row>
    <row r="34" spans="1:2" x14ac:dyDescent="0.2">
      <c r="A34" s="10">
        <f t="shared" si="1"/>
        <v>1.8000000000000007</v>
      </c>
      <c r="B34" s="14">
        <f t="shared" si="0"/>
        <v>-2672.01221230175</v>
      </c>
    </row>
  </sheetData>
  <mergeCells count="2">
    <mergeCell ref="A1:C1"/>
    <mergeCell ref="A18:B18"/>
  </mergeCells>
  <phoneticPr fontId="3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&amp;CUN-22D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D1"/>
    </sheetView>
  </sheetViews>
  <sheetFormatPr defaultRowHeight="12.75" x14ac:dyDescent="0.2"/>
  <cols>
    <col min="1" max="1" width="26.7109375" customWidth="1"/>
    <col min="2" max="2" width="11.7109375" bestFit="1" customWidth="1"/>
    <col min="3" max="3" width="18.5703125" customWidth="1"/>
    <col min="4" max="4" width="22.140625" bestFit="1" customWidth="1"/>
  </cols>
  <sheetData>
    <row r="1" spans="1:4" ht="37.9" customHeight="1" x14ac:dyDescent="0.2">
      <c r="A1" s="81" t="s">
        <v>193</v>
      </c>
      <c r="B1" s="82"/>
      <c r="C1" s="82"/>
      <c r="D1" s="82"/>
    </row>
    <row r="2" spans="1:4" x14ac:dyDescent="0.2">
      <c r="A2" t="s">
        <v>189</v>
      </c>
      <c r="B2" s="2">
        <v>1000</v>
      </c>
    </row>
    <row r="3" spans="1:4" x14ac:dyDescent="0.2">
      <c r="A3" t="s">
        <v>33</v>
      </c>
      <c r="B3" s="10">
        <v>0.05</v>
      </c>
    </row>
    <row r="5" spans="1:4" ht="25.5" x14ac:dyDescent="0.2">
      <c r="A5" s="6" t="s">
        <v>6</v>
      </c>
      <c r="B5" s="6" t="s">
        <v>190</v>
      </c>
      <c r="C5" s="4" t="s">
        <v>191</v>
      </c>
    </row>
    <row r="6" spans="1:4" x14ac:dyDescent="0.2">
      <c r="A6" s="5">
        <v>0</v>
      </c>
      <c r="B6" s="2">
        <f>$B$2</f>
        <v>1000</v>
      </c>
      <c r="C6" s="22">
        <f>B6*(1+$B$3)^(5-A6)</f>
        <v>1276.2815625000001</v>
      </c>
      <c r="D6" t="e">
        <f ca="1">getformula(C6)</f>
        <v>#NAME?</v>
      </c>
    </row>
    <row r="7" spans="1:4" x14ac:dyDescent="0.2">
      <c r="A7" s="5">
        <v>1</v>
      </c>
      <c r="B7" s="2">
        <f>$B$2</f>
        <v>1000</v>
      </c>
      <c r="C7" s="22">
        <f>B7*(1+$B$3)^(5-A7)</f>
        <v>1215.5062499999999</v>
      </c>
    </row>
    <row r="8" spans="1:4" x14ac:dyDescent="0.2">
      <c r="A8" s="5">
        <v>2</v>
      </c>
      <c r="B8" s="2">
        <f>$B$2</f>
        <v>1000</v>
      </c>
      <c r="C8" s="22">
        <f>B8*(1+$B$3)^(5-A8)</f>
        <v>1157.6250000000002</v>
      </c>
    </row>
    <row r="9" spans="1:4" x14ac:dyDescent="0.2">
      <c r="A9" s="5">
        <v>3</v>
      </c>
      <c r="B9" s="2">
        <f>$B$2</f>
        <v>1000</v>
      </c>
      <c r="C9" s="22">
        <f>B9*(1+$B$3)^(5-A9)</f>
        <v>1102.5</v>
      </c>
    </row>
    <row r="10" spans="1:4" x14ac:dyDescent="0.2">
      <c r="A10" s="5">
        <v>4</v>
      </c>
      <c r="B10" s="2">
        <f>$B$2</f>
        <v>1000</v>
      </c>
      <c r="C10" s="22">
        <f>B10*(1+$B$3)^(5-A10)</f>
        <v>1050</v>
      </c>
    </row>
    <row r="11" spans="1:4" x14ac:dyDescent="0.2">
      <c r="A11" s="5">
        <v>5</v>
      </c>
      <c r="B11" s="2"/>
      <c r="C11" s="22"/>
    </row>
    <row r="12" spans="1:4" x14ac:dyDescent="0.2">
      <c r="A12" s="5"/>
      <c r="B12" s="2"/>
      <c r="C12" s="22"/>
    </row>
    <row r="13" spans="1:4" x14ac:dyDescent="0.2">
      <c r="A13" s="29" t="s">
        <v>192</v>
      </c>
      <c r="B13" s="29"/>
      <c r="C13" s="45">
        <f>SUM(C6:C11)</f>
        <v>5801.9128124999997</v>
      </c>
      <c r="D13" t="e">
        <f ca="1">getformula(C13)</f>
        <v>#NAME?</v>
      </c>
    </row>
    <row r="14" spans="1:4" x14ac:dyDescent="0.2">
      <c r="C14" s="45">
        <f>FV(B3,5,-B2,,1)</f>
        <v>5801.9128125000034</v>
      </c>
      <c r="D14" t="e">
        <f ca="1">getformula(C14)</f>
        <v>#NAME?</v>
      </c>
    </row>
  </sheetData>
  <mergeCells count="1">
    <mergeCell ref="A1:D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D1"/>
    </sheetView>
  </sheetViews>
  <sheetFormatPr defaultRowHeight="12.75" x14ac:dyDescent="0.2"/>
  <cols>
    <col min="1" max="1" width="26.7109375" customWidth="1"/>
    <col min="2" max="2" width="11.7109375" bestFit="1" customWidth="1"/>
    <col min="3" max="3" width="18.5703125" customWidth="1"/>
    <col min="4" max="4" width="22.140625" bestFit="1" customWidth="1"/>
  </cols>
  <sheetData>
    <row r="1" spans="1:4" ht="37.9" customHeight="1" x14ac:dyDescent="0.2">
      <c r="A1" s="81" t="s">
        <v>194</v>
      </c>
      <c r="B1" s="82"/>
      <c r="C1" s="82"/>
      <c r="D1" s="82"/>
    </row>
    <row r="2" spans="1:4" x14ac:dyDescent="0.2">
      <c r="A2" t="s">
        <v>189</v>
      </c>
      <c r="B2" s="2">
        <v>1000</v>
      </c>
    </row>
    <row r="3" spans="1:4" x14ac:dyDescent="0.2">
      <c r="A3" t="s">
        <v>33</v>
      </c>
      <c r="B3" s="10">
        <v>0.05</v>
      </c>
    </row>
    <row r="5" spans="1:4" ht="25.5" x14ac:dyDescent="0.2">
      <c r="A5" s="6" t="s">
        <v>6</v>
      </c>
      <c r="B5" s="6" t="s">
        <v>190</v>
      </c>
      <c r="C5" s="4" t="s">
        <v>191</v>
      </c>
    </row>
    <row r="6" spans="1:4" x14ac:dyDescent="0.2">
      <c r="A6" s="5">
        <v>0</v>
      </c>
      <c r="B6" s="2">
        <v>0</v>
      </c>
      <c r="C6" s="22">
        <f t="shared" ref="C6:C11" si="0">B6*(1+$B$3)^(5-A6)</f>
        <v>0</v>
      </c>
      <c r="D6" t="e">
        <f ca="1">getformula(C6)</f>
        <v>#NAME?</v>
      </c>
    </row>
    <row r="7" spans="1:4" x14ac:dyDescent="0.2">
      <c r="A7" s="5">
        <v>1</v>
      </c>
      <c r="B7" s="2">
        <f>$B$2</f>
        <v>1000</v>
      </c>
      <c r="C7" s="22">
        <f t="shared" si="0"/>
        <v>1215.5062499999999</v>
      </c>
      <c r="D7" t="e">
        <f ca="1">getformula(C7)</f>
        <v>#NAME?</v>
      </c>
    </row>
    <row r="8" spans="1:4" x14ac:dyDescent="0.2">
      <c r="A8" s="5">
        <v>2</v>
      </c>
      <c r="B8" s="2">
        <f>$B$2</f>
        <v>1000</v>
      </c>
      <c r="C8" s="22">
        <f t="shared" si="0"/>
        <v>1157.6250000000002</v>
      </c>
    </row>
    <row r="9" spans="1:4" x14ac:dyDescent="0.2">
      <c r="A9" s="5">
        <v>3</v>
      </c>
      <c r="B9" s="2">
        <f>$B$2</f>
        <v>1000</v>
      </c>
      <c r="C9" s="22">
        <f t="shared" si="0"/>
        <v>1102.5</v>
      </c>
    </row>
    <row r="10" spans="1:4" x14ac:dyDescent="0.2">
      <c r="A10" s="5">
        <v>4</v>
      </c>
      <c r="B10" s="2">
        <f>$B$2</f>
        <v>1000</v>
      </c>
      <c r="C10" s="22">
        <f t="shared" si="0"/>
        <v>1050</v>
      </c>
    </row>
    <row r="11" spans="1:4" x14ac:dyDescent="0.2">
      <c r="A11" s="5">
        <v>5</v>
      </c>
      <c r="B11" s="2">
        <v>1000</v>
      </c>
      <c r="C11" s="22">
        <f t="shared" si="0"/>
        <v>1000</v>
      </c>
    </row>
    <row r="12" spans="1:4" x14ac:dyDescent="0.2">
      <c r="A12" s="5"/>
      <c r="B12" s="2"/>
      <c r="C12" s="22"/>
    </row>
    <row r="13" spans="1:4" x14ac:dyDescent="0.2">
      <c r="A13" s="29" t="s">
        <v>192</v>
      </c>
      <c r="B13" s="29"/>
      <c r="C13" s="45">
        <f>SUM(C6:C11)</f>
        <v>5525.6312500000004</v>
      </c>
      <c r="D13" t="e">
        <f ca="1">getformula(C13)</f>
        <v>#NAME?</v>
      </c>
    </row>
    <row r="14" spans="1:4" x14ac:dyDescent="0.2">
      <c r="C14" s="45">
        <f>FV(B3,5,-B2,,0)</f>
        <v>5525.6312500000031</v>
      </c>
      <c r="D14" t="e">
        <f ca="1">getformula(C14)</f>
        <v>#NAME?</v>
      </c>
    </row>
  </sheetData>
  <mergeCells count="1">
    <mergeCell ref="A1:D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D12"/>
  <sheetViews>
    <sheetView workbookViewId="0">
      <selection sqref="A1:C1"/>
    </sheetView>
  </sheetViews>
  <sheetFormatPr defaultRowHeight="12.75" x14ac:dyDescent="0.2"/>
  <cols>
    <col min="1" max="1" width="16.140625" customWidth="1"/>
    <col min="3" max="3" width="22.28515625" bestFit="1" customWidth="1"/>
  </cols>
  <sheetData>
    <row r="1" spans="1:4" ht="18" x14ac:dyDescent="0.25">
      <c r="A1" s="79" t="s">
        <v>27</v>
      </c>
      <c r="B1" s="79"/>
      <c r="C1" s="79"/>
      <c r="D1" s="15"/>
    </row>
    <row r="2" spans="1:4" x14ac:dyDescent="0.2">
      <c r="A2" s="16" t="s">
        <v>19</v>
      </c>
    </row>
    <row r="3" spans="1:4" x14ac:dyDescent="0.2">
      <c r="A3" t="s">
        <v>20</v>
      </c>
      <c r="B3" s="10">
        <v>0.1</v>
      </c>
    </row>
    <row r="4" spans="1:4" x14ac:dyDescent="0.2">
      <c r="A4" t="s">
        <v>2</v>
      </c>
      <c r="B4">
        <v>10</v>
      </c>
    </row>
    <row r="5" spans="1:4" x14ac:dyDescent="0.2">
      <c r="A5" t="s">
        <v>21</v>
      </c>
      <c r="B5">
        <v>100</v>
      </c>
    </row>
    <row r="6" spans="1:4" x14ac:dyDescent="0.2">
      <c r="A6" t="s">
        <v>22</v>
      </c>
      <c r="B6" s="17">
        <f>PV(B3,B4,B5)</f>
        <v>-614.45671057046854</v>
      </c>
      <c r="C6" t="e">
        <f ca="1">getformula(B6)</f>
        <v>#NAME?</v>
      </c>
    </row>
    <row r="8" spans="1:4" x14ac:dyDescent="0.2">
      <c r="A8" s="16" t="s">
        <v>23</v>
      </c>
    </row>
    <row r="9" spans="1:4" x14ac:dyDescent="0.2">
      <c r="A9" t="s">
        <v>20</v>
      </c>
      <c r="B9" s="10">
        <v>0.1</v>
      </c>
    </row>
    <row r="10" spans="1:4" x14ac:dyDescent="0.2">
      <c r="A10" t="s">
        <v>2</v>
      </c>
      <c r="B10">
        <v>10</v>
      </c>
    </row>
    <row r="11" spans="1:4" x14ac:dyDescent="0.2">
      <c r="A11" t="s">
        <v>21</v>
      </c>
      <c r="B11">
        <v>100</v>
      </c>
    </row>
    <row r="12" spans="1:4" x14ac:dyDescent="0.2">
      <c r="A12" t="s">
        <v>22</v>
      </c>
      <c r="B12" s="17">
        <f>PV(B9,B10,B11,,1)</f>
        <v>-675.90238162751541</v>
      </c>
      <c r="C12" t="e">
        <f ca="1">getformula(B12)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&amp;CUN-22F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12"/>
  <sheetViews>
    <sheetView workbookViewId="0">
      <selection sqref="A1:C1"/>
    </sheetView>
  </sheetViews>
  <sheetFormatPr defaultColWidth="9.140625" defaultRowHeight="12.75" x14ac:dyDescent="0.2"/>
  <cols>
    <col min="1" max="1" width="17" style="59" customWidth="1"/>
    <col min="2" max="2" width="9.140625" style="59"/>
    <col min="3" max="3" width="23.5703125" style="59" bestFit="1" customWidth="1"/>
    <col min="4" max="16384" width="9.140625" style="59"/>
  </cols>
  <sheetData>
    <row r="1" spans="1:4" ht="18" x14ac:dyDescent="0.25">
      <c r="A1" s="79" t="s">
        <v>28</v>
      </c>
      <c r="B1" s="79"/>
      <c r="C1" s="79"/>
      <c r="D1" s="15"/>
    </row>
    <row r="2" spans="1:4" x14ac:dyDescent="0.2">
      <c r="A2" s="1" t="s">
        <v>19</v>
      </c>
    </row>
    <row r="3" spans="1:4" x14ac:dyDescent="0.2">
      <c r="A3" s="59" t="s">
        <v>20</v>
      </c>
      <c r="B3" s="67">
        <v>0.08</v>
      </c>
    </row>
    <row r="4" spans="1:4" x14ac:dyDescent="0.2">
      <c r="A4" s="59" t="s">
        <v>2</v>
      </c>
      <c r="B4" s="59">
        <v>10</v>
      </c>
    </row>
    <row r="5" spans="1:4" x14ac:dyDescent="0.2">
      <c r="A5" s="59" t="s">
        <v>24</v>
      </c>
      <c r="B5" s="59">
        <v>1000</v>
      </c>
    </row>
    <row r="6" spans="1:4" x14ac:dyDescent="0.2">
      <c r="A6" s="59" t="s">
        <v>21</v>
      </c>
      <c r="B6" s="68">
        <f>PMT(B3,B4,B5)</f>
        <v>-149.02948869707541</v>
      </c>
      <c r="C6" s="59" t="e">
        <f ca="1">getformula(B6)</f>
        <v>#NAME?</v>
      </c>
    </row>
    <row r="8" spans="1:4" x14ac:dyDescent="0.2">
      <c r="A8" s="1" t="s">
        <v>23</v>
      </c>
    </row>
    <row r="9" spans="1:4" x14ac:dyDescent="0.2">
      <c r="A9" s="59" t="s">
        <v>20</v>
      </c>
      <c r="B9" s="67">
        <v>0.08</v>
      </c>
    </row>
    <row r="10" spans="1:4" x14ac:dyDescent="0.2">
      <c r="A10" s="59" t="s">
        <v>2</v>
      </c>
      <c r="B10" s="59">
        <v>10</v>
      </c>
    </row>
    <row r="11" spans="1:4" x14ac:dyDescent="0.2">
      <c r="A11" s="59" t="s">
        <v>24</v>
      </c>
      <c r="B11" s="59">
        <v>1000</v>
      </c>
    </row>
    <row r="12" spans="1:4" x14ac:dyDescent="0.2">
      <c r="A12" s="59" t="s">
        <v>21</v>
      </c>
      <c r="B12" s="68">
        <f>PMT(B9,B10,B11,,1)</f>
        <v>-137.99026731210685</v>
      </c>
      <c r="C12" s="59" t="e">
        <f ca="1">getformula(B12)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F18"/>
  <sheetViews>
    <sheetView workbookViewId="0">
      <selection sqref="A1:E1"/>
    </sheetView>
  </sheetViews>
  <sheetFormatPr defaultRowHeight="12.75" x14ac:dyDescent="0.2"/>
  <cols>
    <col min="1" max="1" width="16.140625" bestFit="1" customWidth="1"/>
    <col min="2" max="2" width="16.140625" customWidth="1"/>
    <col min="4" max="4" width="10.42578125" customWidth="1"/>
    <col min="5" max="5" width="14.140625" customWidth="1"/>
  </cols>
  <sheetData>
    <row r="1" spans="1:6" ht="18" x14ac:dyDescent="0.25">
      <c r="A1" s="79" t="s">
        <v>200</v>
      </c>
      <c r="B1" s="79"/>
      <c r="C1" s="79"/>
      <c r="D1" s="79"/>
      <c r="E1" s="79"/>
    </row>
    <row r="2" spans="1:6" x14ac:dyDescent="0.2">
      <c r="A2" t="s">
        <v>25</v>
      </c>
      <c r="B2" s="10">
        <v>0.08</v>
      </c>
    </row>
    <row r="3" spans="1:6" x14ac:dyDescent="0.2">
      <c r="A3" t="s">
        <v>2</v>
      </c>
      <c r="B3">
        <v>10</v>
      </c>
    </row>
    <row r="4" spans="1:6" x14ac:dyDescent="0.2">
      <c r="A4" t="s">
        <v>24</v>
      </c>
      <c r="B4" s="18">
        <v>1000</v>
      </c>
    </row>
    <row r="5" spans="1:6" x14ac:dyDescent="0.2">
      <c r="A5" t="s">
        <v>3</v>
      </c>
      <c r="B5" s="19">
        <f>-PMT(B2,B3,B4)</f>
        <v>149.02948869707541</v>
      </c>
      <c r="C5" t="e">
        <f ca="1">getformula(B5)</f>
        <v>#NAME?</v>
      </c>
    </row>
    <row r="6" spans="1:6" x14ac:dyDescent="0.2">
      <c r="D6" s="59"/>
      <c r="E6" s="59"/>
    </row>
    <row r="7" spans="1:6" x14ac:dyDescent="0.2">
      <c r="A7" s="12"/>
      <c r="D7" s="83" t="s">
        <v>26</v>
      </c>
      <c r="E7" s="83"/>
      <c r="F7" s="12"/>
    </row>
    <row r="8" spans="1:6" ht="38.25" x14ac:dyDescent="0.2">
      <c r="A8" s="12" t="s">
        <v>6</v>
      </c>
      <c r="B8" s="13" t="s">
        <v>29</v>
      </c>
      <c r="C8" s="12" t="s">
        <v>21</v>
      </c>
      <c r="D8" s="12" t="s">
        <v>25</v>
      </c>
      <c r="E8" s="13" t="s">
        <v>30</v>
      </c>
      <c r="F8" s="12"/>
    </row>
    <row r="9" spans="1:6" x14ac:dyDescent="0.2">
      <c r="A9" s="5">
        <v>1</v>
      </c>
      <c r="B9" s="20">
        <f>B4</f>
        <v>1000</v>
      </c>
      <c r="C9" s="21">
        <f>-PMT(B2,B3,B4)</f>
        <v>149.02948869707541</v>
      </c>
      <c r="D9" s="21">
        <f t="shared" ref="D9:D18" si="0">$B$2*B9</f>
        <v>80</v>
      </c>
      <c r="E9" s="21">
        <f t="shared" ref="E9:E18" si="1">C9-D9</f>
        <v>69.029488697075408</v>
      </c>
    </row>
    <row r="10" spans="1:6" x14ac:dyDescent="0.2">
      <c r="A10" s="5">
        <v>2</v>
      </c>
      <c r="B10" s="21">
        <f t="shared" ref="B10:B18" si="2">B9-E9</f>
        <v>930.97051130292459</v>
      </c>
      <c r="C10" s="21">
        <f t="shared" ref="C10:C18" si="3">C9</f>
        <v>149.02948869707541</v>
      </c>
      <c r="D10" s="21">
        <f t="shared" si="0"/>
        <v>74.477640904233965</v>
      </c>
      <c r="E10" s="21">
        <f t="shared" si="1"/>
        <v>74.551847792841443</v>
      </c>
    </row>
    <row r="11" spans="1:6" x14ac:dyDescent="0.2">
      <c r="A11" s="5">
        <v>3</v>
      </c>
      <c r="B11" s="21">
        <f t="shared" si="2"/>
        <v>856.41866351008321</v>
      </c>
      <c r="C11" s="21">
        <f t="shared" si="3"/>
        <v>149.02948869707541</v>
      </c>
      <c r="D11" s="21">
        <f t="shared" si="0"/>
        <v>68.513493080806654</v>
      </c>
      <c r="E11" s="21">
        <f t="shared" si="1"/>
        <v>80.515995616268754</v>
      </c>
    </row>
    <row r="12" spans="1:6" x14ac:dyDescent="0.2">
      <c r="A12" s="5">
        <v>4</v>
      </c>
      <c r="B12" s="21">
        <f t="shared" si="2"/>
        <v>775.9026678938144</v>
      </c>
      <c r="C12" s="21">
        <f t="shared" si="3"/>
        <v>149.02948869707541</v>
      </c>
      <c r="D12" s="21">
        <f t="shared" si="0"/>
        <v>62.072213431505155</v>
      </c>
      <c r="E12" s="21">
        <f t="shared" si="1"/>
        <v>86.957275265570246</v>
      </c>
    </row>
    <row r="13" spans="1:6" x14ac:dyDescent="0.2">
      <c r="A13" s="5">
        <v>5</v>
      </c>
      <c r="B13" s="21">
        <f t="shared" si="2"/>
        <v>688.94539262824412</v>
      </c>
      <c r="C13" s="21">
        <f t="shared" si="3"/>
        <v>149.02948869707541</v>
      </c>
      <c r="D13" s="21">
        <f t="shared" si="0"/>
        <v>55.115631410259532</v>
      </c>
      <c r="E13" s="21">
        <f t="shared" si="1"/>
        <v>93.913857286815869</v>
      </c>
    </row>
    <row r="14" spans="1:6" x14ac:dyDescent="0.2">
      <c r="A14" s="5">
        <v>6</v>
      </c>
      <c r="B14" s="21">
        <f t="shared" si="2"/>
        <v>595.03153534142825</v>
      </c>
      <c r="C14" s="21">
        <f t="shared" si="3"/>
        <v>149.02948869707541</v>
      </c>
      <c r="D14" s="21">
        <f t="shared" si="0"/>
        <v>47.60252282731426</v>
      </c>
      <c r="E14" s="21">
        <f t="shared" si="1"/>
        <v>101.42696586976115</v>
      </c>
    </row>
    <row r="15" spans="1:6" x14ac:dyDescent="0.2">
      <c r="A15" s="5">
        <v>7</v>
      </c>
      <c r="B15" s="21">
        <f t="shared" si="2"/>
        <v>493.60456947166711</v>
      </c>
      <c r="C15" s="21">
        <f t="shared" si="3"/>
        <v>149.02948869707541</v>
      </c>
      <c r="D15" s="21">
        <f t="shared" si="0"/>
        <v>39.488365557733367</v>
      </c>
      <c r="E15" s="21">
        <f t="shared" si="1"/>
        <v>109.54112313934203</v>
      </c>
    </row>
    <row r="16" spans="1:6" x14ac:dyDescent="0.2">
      <c r="A16" s="5">
        <v>8</v>
      </c>
      <c r="B16" s="21">
        <f t="shared" si="2"/>
        <v>384.06344633232504</v>
      </c>
      <c r="C16" s="21">
        <f t="shared" si="3"/>
        <v>149.02948869707541</v>
      </c>
      <c r="D16" s="21">
        <f t="shared" si="0"/>
        <v>30.725075706586004</v>
      </c>
      <c r="E16" s="21">
        <f t="shared" si="1"/>
        <v>118.3044129904894</v>
      </c>
    </row>
    <row r="17" spans="1:5" x14ac:dyDescent="0.2">
      <c r="A17" s="5">
        <v>9</v>
      </c>
      <c r="B17" s="21">
        <f t="shared" si="2"/>
        <v>265.75903334183567</v>
      </c>
      <c r="C17" s="21">
        <f t="shared" si="3"/>
        <v>149.02948869707541</v>
      </c>
      <c r="D17" s="21">
        <f t="shared" si="0"/>
        <v>21.260722667346855</v>
      </c>
      <c r="E17" s="21">
        <f t="shared" si="1"/>
        <v>127.76876602972855</v>
      </c>
    </row>
    <row r="18" spans="1:5" x14ac:dyDescent="0.2">
      <c r="A18" s="5">
        <v>10</v>
      </c>
      <c r="B18" s="21">
        <f t="shared" si="2"/>
        <v>137.99026731210711</v>
      </c>
      <c r="C18" s="21">
        <f t="shared" si="3"/>
        <v>149.02948869707541</v>
      </c>
      <c r="D18" s="21">
        <f t="shared" si="0"/>
        <v>11.039221384968569</v>
      </c>
      <c r="E18" s="21">
        <f t="shared" si="1"/>
        <v>137.99026731210685</v>
      </c>
    </row>
  </sheetData>
  <mergeCells count="2">
    <mergeCell ref="A1:E1"/>
    <mergeCell ref="D7:E7"/>
  </mergeCells>
  <phoneticPr fontId="3" type="noConversion"/>
  <printOptions headings="1" gridLines="1"/>
  <pageMargins left="0.75" right="0.75" top="1" bottom="1" header="0.5" footer="0.5"/>
  <pageSetup orientation="landscape" verticalDpi="300" r:id="rId1"/>
  <headerFooter alignWithMargins="0">
    <oddHeader>&amp;CUN-22H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E9"/>
  <sheetViews>
    <sheetView workbookViewId="0">
      <selection sqref="A1:C1"/>
    </sheetView>
  </sheetViews>
  <sheetFormatPr defaultRowHeight="12.75" x14ac:dyDescent="0.2"/>
  <cols>
    <col min="1" max="1" width="16.140625" bestFit="1" customWidth="1"/>
    <col min="2" max="2" width="16.140625" customWidth="1"/>
    <col min="3" max="3" width="23.140625" bestFit="1" customWidth="1"/>
    <col min="4" max="4" width="10.42578125" customWidth="1"/>
    <col min="5" max="5" width="14.140625" customWidth="1"/>
  </cols>
  <sheetData>
    <row r="1" spans="1:5" ht="18" x14ac:dyDescent="0.25">
      <c r="A1" s="79" t="s">
        <v>204</v>
      </c>
      <c r="B1" s="79"/>
      <c r="C1" s="79"/>
      <c r="D1" s="15"/>
      <c r="E1" s="15"/>
    </row>
    <row r="2" spans="1:5" x14ac:dyDescent="0.2">
      <c r="A2" t="s">
        <v>25</v>
      </c>
      <c r="B2" s="10">
        <v>0.08</v>
      </c>
    </row>
    <row r="3" spans="1:5" x14ac:dyDescent="0.2">
      <c r="A3" t="s">
        <v>2</v>
      </c>
      <c r="B3">
        <v>10</v>
      </c>
    </row>
    <row r="4" spans="1:5" x14ac:dyDescent="0.2">
      <c r="A4" t="s">
        <v>24</v>
      </c>
      <c r="B4" s="18">
        <v>1000</v>
      </c>
    </row>
    <row r="5" spans="1:5" x14ac:dyDescent="0.2">
      <c r="A5" s="58" t="s">
        <v>3</v>
      </c>
      <c r="B5" s="61">
        <f>PMT(B2,B3,-B4)</f>
        <v>149.02948869707541</v>
      </c>
      <c r="C5" t="e">
        <f ca="1">getformula(B5)</f>
        <v>#NAME?</v>
      </c>
    </row>
    <row r="7" spans="1:5" x14ac:dyDescent="0.2">
      <c r="A7" s="59" t="s">
        <v>6</v>
      </c>
      <c r="B7">
        <v>3</v>
      </c>
    </row>
    <row r="8" spans="1:5" x14ac:dyDescent="0.2">
      <c r="A8" s="62" t="s">
        <v>205</v>
      </c>
      <c r="B8" s="63">
        <f>IPMT(B2,B7,B3,-B4)</f>
        <v>68.513493080806654</v>
      </c>
      <c r="C8" t="e">
        <f ca="1">getformula(B8)</f>
        <v>#NAME?</v>
      </c>
    </row>
    <row r="9" spans="1:5" x14ac:dyDescent="0.2">
      <c r="A9" s="62" t="s">
        <v>206</v>
      </c>
      <c r="B9" s="63">
        <f>PPMT(B2,B7,B3,-B4)</f>
        <v>80.515995616268768</v>
      </c>
      <c r="C9" t="e">
        <f ca="1">getformula(B9)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landscape" verticalDpi="300" r:id="rId1"/>
  <headerFooter alignWithMargins="0">
    <oddHeader>&amp;CUN-22H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2" sqref="A2"/>
    </sheetView>
  </sheetViews>
  <sheetFormatPr defaultRowHeight="12.75" x14ac:dyDescent="0.2"/>
  <cols>
    <col min="1" max="1" width="29.5703125" customWidth="1"/>
    <col min="2" max="2" width="10.5703125" customWidth="1"/>
    <col min="3" max="3" width="11.42578125" bestFit="1" customWidth="1"/>
    <col min="4" max="4" width="23.5703125" bestFit="1" customWidth="1"/>
  </cols>
  <sheetData>
    <row r="1" spans="1:4" ht="40.15" customHeight="1" x14ac:dyDescent="0.2">
      <c r="A1" s="81" t="s">
        <v>202</v>
      </c>
      <c r="B1" s="82"/>
      <c r="C1" s="82"/>
      <c r="D1" s="82"/>
    </row>
    <row r="2" spans="1:4" x14ac:dyDescent="0.2">
      <c r="A2" t="s">
        <v>195</v>
      </c>
      <c r="B2" s="47">
        <v>715.74</v>
      </c>
    </row>
    <row r="3" spans="1:4" x14ac:dyDescent="0.2">
      <c r="A3" t="s">
        <v>33</v>
      </c>
      <c r="B3" s="10">
        <v>0.06</v>
      </c>
    </row>
    <row r="5" spans="1:4" s="6" customFormat="1" ht="25.5" x14ac:dyDescent="0.2">
      <c r="A5" s="6" t="s">
        <v>6</v>
      </c>
      <c r="B5" s="4" t="s">
        <v>196</v>
      </c>
      <c r="C5" s="4" t="s">
        <v>197</v>
      </c>
    </row>
    <row r="6" spans="1:4" x14ac:dyDescent="0.2">
      <c r="A6" s="5">
        <v>0</v>
      </c>
      <c r="B6" s="46">
        <f>$B$2</f>
        <v>715.74</v>
      </c>
      <c r="C6" s="46">
        <f>B6</f>
        <v>715.74</v>
      </c>
      <c r="D6" t="e">
        <f ca="1">getformula(C6)</f>
        <v>#NAME?</v>
      </c>
    </row>
    <row r="7" spans="1:4" x14ac:dyDescent="0.2">
      <c r="A7" s="5">
        <v>1</v>
      </c>
      <c r="B7" s="46">
        <f t="shared" ref="B7:B15" si="0">$B$2</f>
        <v>715.74</v>
      </c>
      <c r="C7" s="46">
        <f>B7+C6*(1+$B$3)</f>
        <v>1474.4244000000001</v>
      </c>
      <c r="D7" t="e">
        <f ca="1">getformula(C7)</f>
        <v>#NAME?</v>
      </c>
    </row>
    <row r="8" spans="1:4" x14ac:dyDescent="0.2">
      <c r="A8" s="5">
        <v>2</v>
      </c>
      <c r="B8" s="46">
        <f t="shared" si="0"/>
        <v>715.74</v>
      </c>
      <c r="C8" s="46">
        <f t="shared" ref="C8:C16" si="1">B8+C7*(1+$B$3)</f>
        <v>2278.6298640000005</v>
      </c>
      <c r="D8" t="e">
        <f ca="1">getformula(C8)</f>
        <v>#NAME?</v>
      </c>
    </row>
    <row r="9" spans="1:4" x14ac:dyDescent="0.2">
      <c r="A9" s="5">
        <v>3</v>
      </c>
      <c r="B9" s="46">
        <f t="shared" si="0"/>
        <v>715.74</v>
      </c>
      <c r="C9" s="46">
        <f t="shared" si="1"/>
        <v>3131.0876558400005</v>
      </c>
    </row>
    <row r="10" spans="1:4" x14ac:dyDescent="0.2">
      <c r="A10" s="5">
        <v>4</v>
      </c>
      <c r="B10" s="46">
        <f t="shared" si="0"/>
        <v>715.74</v>
      </c>
      <c r="C10" s="46">
        <f t="shared" si="1"/>
        <v>4034.6929151904005</v>
      </c>
    </row>
    <row r="11" spans="1:4" x14ac:dyDescent="0.2">
      <c r="A11" s="5">
        <v>5</v>
      </c>
      <c r="B11" s="46">
        <f t="shared" si="0"/>
        <v>715.74</v>
      </c>
      <c r="C11" s="46">
        <f t="shared" si="1"/>
        <v>4992.5144901018248</v>
      </c>
    </row>
    <row r="12" spans="1:4" x14ac:dyDescent="0.2">
      <c r="A12" s="5">
        <v>6</v>
      </c>
      <c r="B12" s="46">
        <f t="shared" si="0"/>
        <v>715.74</v>
      </c>
      <c r="C12" s="46">
        <f t="shared" si="1"/>
        <v>6007.8053595079346</v>
      </c>
    </row>
    <row r="13" spans="1:4" x14ac:dyDescent="0.2">
      <c r="A13" s="5">
        <v>7</v>
      </c>
      <c r="B13" s="46">
        <f t="shared" si="0"/>
        <v>715.74</v>
      </c>
      <c r="C13" s="46">
        <f t="shared" si="1"/>
        <v>7084.0136810784106</v>
      </c>
    </row>
    <row r="14" spans="1:4" x14ac:dyDescent="0.2">
      <c r="A14" s="5">
        <v>8</v>
      </c>
      <c r="B14" s="46">
        <f t="shared" si="0"/>
        <v>715.74</v>
      </c>
      <c r="C14" s="46">
        <f t="shared" si="1"/>
        <v>8224.7945019431154</v>
      </c>
    </row>
    <row r="15" spans="1:4" x14ac:dyDescent="0.2">
      <c r="A15" s="5">
        <v>9</v>
      </c>
      <c r="B15" s="46">
        <f t="shared" si="0"/>
        <v>715.74</v>
      </c>
      <c r="C15" s="46">
        <f t="shared" si="1"/>
        <v>9434.0221720597019</v>
      </c>
    </row>
    <row r="16" spans="1:4" x14ac:dyDescent="0.2">
      <c r="A16" s="5">
        <v>10</v>
      </c>
      <c r="B16" s="46">
        <v>0</v>
      </c>
      <c r="C16" s="47">
        <f t="shared" si="1"/>
        <v>10000.063502383284</v>
      </c>
      <c r="D16" t="e">
        <f ca="1">getformula(C16)</f>
        <v>#NAME?</v>
      </c>
    </row>
    <row r="18" spans="1:4" x14ac:dyDescent="0.2">
      <c r="A18" s="29" t="s">
        <v>198</v>
      </c>
      <c r="B18" s="29"/>
      <c r="C18" s="48">
        <f>PMT(B3,10,,-10000,1)</f>
        <v>715.73545490928132</v>
      </c>
      <c r="D18" t="e">
        <f ca="1">getformula(C18)</f>
        <v>#NAME?</v>
      </c>
    </row>
  </sheetData>
  <mergeCells count="1">
    <mergeCell ref="A1:D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8"/>
  <sheetViews>
    <sheetView workbookViewId="0">
      <selection sqref="A1:D1"/>
    </sheetView>
  </sheetViews>
  <sheetFormatPr defaultRowHeight="12.75" x14ac:dyDescent="0.2"/>
  <cols>
    <col min="1" max="1" width="22" customWidth="1"/>
    <col min="2" max="2" width="11" customWidth="1"/>
    <col min="3" max="3" width="29.7109375" bestFit="1" customWidth="1"/>
    <col min="4" max="4" width="16.42578125" bestFit="1" customWidth="1"/>
  </cols>
  <sheetData>
    <row r="1" spans="1:4" ht="36" customHeight="1" x14ac:dyDescent="0.2">
      <c r="A1" s="81" t="s">
        <v>201</v>
      </c>
      <c r="B1" s="82"/>
      <c r="C1" s="82"/>
      <c r="D1" s="82"/>
    </row>
    <row r="2" spans="1:4" x14ac:dyDescent="0.2">
      <c r="A2" s="1" t="s">
        <v>0</v>
      </c>
    </row>
    <row r="3" spans="1:4" x14ac:dyDescent="0.2">
      <c r="A3" t="s">
        <v>1</v>
      </c>
      <c r="B3" s="2">
        <v>600</v>
      </c>
    </row>
    <row r="4" spans="1:4" x14ac:dyDescent="0.2">
      <c r="A4" t="s">
        <v>2</v>
      </c>
      <c r="B4">
        <v>10</v>
      </c>
    </row>
    <row r="5" spans="1:4" x14ac:dyDescent="0.2">
      <c r="A5" t="s">
        <v>3</v>
      </c>
      <c r="B5">
        <v>100</v>
      </c>
    </row>
    <row r="6" spans="1:4" x14ac:dyDescent="0.2">
      <c r="A6" t="s">
        <v>4</v>
      </c>
      <c r="B6" s="3">
        <f>RATE(B4,B5,-B3)</f>
        <v>0.10557981605038244</v>
      </c>
      <c r="C6" t="e">
        <f ca="1">getformula(B6)</f>
        <v>#NAME?</v>
      </c>
    </row>
    <row r="8" spans="1:4" x14ac:dyDescent="0.2">
      <c r="A8" s="1" t="s">
        <v>5</v>
      </c>
    </row>
    <row r="9" spans="1:4" x14ac:dyDescent="0.2">
      <c r="A9" t="s">
        <v>1</v>
      </c>
      <c r="B9" s="2">
        <f>B3</f>
        <v>600</v>
      </c>
    </row>
    <row r="10" spans="1:4" x14ac:dyDescent="0.2">
      <c r="A10" t="s">
        <v>2</v>
      </c>
      <c r="B10">
        <v>10</v>
      </c>
    </row>
    <row r="11" spans="1:4" x14ac:dyDescent="0.2">
      <c r="A11" t="s">
        <v>3</v>
      </c>
      <c r="B11" s="2">
        <f>B5</f>
        <v>100</v>
      </c>
    </row>
    <row r="12" spans="1:4" x14ac:dyDescent="0.2">
      <c r="A12" t="s">
        <v>4</v>
      </c>
      <c r="B12" s="3">
        <f>RATE(B10,B11,-B9,,1,20%)</f>
        <v>0.13704474216889231</v>
      </c>
      <c r="C12" t="e">
        <f ca="1">getformula(B12)</f>
        <v>#NAME?</v>
      </c>
    </row>
    <row r="13" spans="1:4" x14ac:dyDescent="0.2">
      <c r="B13" s="3"/>
    </row>
    <row r="14" spans="1:4" x14ac:dyDescent="0.2">
      <c r="A14" s="1" t="s">
        <v>10</v>
      </c>
    </row>
    <row r="15" spans="1:4" ht="38.25" x14ac:dyDescent="0.2">
      <c r="A15" s="4" t="s">
        <v>6</v>
      </c>
      <c r="B15" s="4" t="s">
        <v>7</v>
      </c>
      <c r="C15" s="4" t="s">
        <v>8</v>
      </c>
    </row>
    <row r="16" spans="1:4" x14ac:dyDescent="0.2">
      <c r="A16" s="5">
        <v>0</v>
      </c>
      <c r="B16" s="2">
        <f>-B3</f>
        <v>-600</v>
      </c>
      <c r="C16" s="7">
        <f>-B9+B11</f>
        <v>-500</v>
      </c>
    </row>
    <row r="17" spans="1:4" x14ac:dyDescent="0.2">
      <c r="A17" s="5">
        <v>1</v>
      </c>
      <c r="B17">
        <f>$B$5</f>
        <v>100</v>
      </c>
      <c r="C17" s="5">
        <f>$B$11</f>
        <v>100</v>
      </c>
    </row>
    <row r="18" spans="1:4" x14ac:dyDescent="0.2">
      <c r="A18" s="5">
        <v>2</v>
      </c>
      <c r="B18">
        <f t="shared" ref="B18:B26" si="0">$B$5</f>
        <v>100</v>
      </c>
      <c r="C18" s="5">
        <f t="shared" ref="C18:C25" si="1">$B$11</f>
        <v>100</v>
      </c>
    </row>
    <row r="19" spans="1:4" x14ac:dyDescent="0.2">
      <c r="A19" s="5">
        <v>3</v>
      </c>
      <c r="B19">
        <f t="shared" si="0"/>
        <v>100</v>
      </c>
      <c r="C19" s="5">
        <f t="shared" si="1"/>
        <v>100</v>
      </c>
    </row>
    <row r="20" spans="1:4" x14ac:dyDescent="0.2">
      <c r="A20" s="5">
        <v>4</v>
      </c>
      <c r="B20">
        <f t="shared" si="0"/>
        <v>100</v>
      </c>
      <c r="C20" s="5">
        <f t="shared" si="1"/>
        <v>100</v>
      </c>
    </row>
    <row r="21" spans="1:4" x14ac:dyDescent="0.2">
      <c r="A21" s="5">
        <v>5</v>
      </c>
      <c r="B21">
        <f t="shared" si="0"/>
        <v>100</v>
      </c>
      <c r="C21" s="5">
        <f t="shared" si="1"/>
        <v>100</v>
      </c>
    </row>
    <row r="22" spans="1:4" x14ac:dyDescent="0.2">
      <c r="A22" s="5">
        <v>6</v>
      </c>
      <c r="B22">
        <f t="shared" si="0"/>
        <v>100</v>
      </c>
      <c r="C22" s="5">
        <f t="shared" si="1"/>
        <v>100</v>
      </c>
    </row>
    <row r="23" spans="1:4" x14ac:dyDescent="0.2">
      <c r="A23" s="5">
        <v>7</v>
      </c>
      <c r="B23">
        <f t="shared" si="0"/>
        <v>100</v>
      </c>
      <c r="C23" s="5">
        <f t="shared" si="1"/>
        <v>100</v>
      </c>
    </row>
    <row r="24" spans="1:4" x14ac:dyDescent="0.2">
      <c r="A24" s="5">
        <v>8</v>
      </c>
      <c r="B24">
        <f t="shared" si="0"/>
        <v>100</v>
      </c>
      <c r="C24" s="5">
        <f t="shared" si="1"/>
        <v>100</v>
      </c>
    </row>
    <row r="25" spans="1:4" x14ac:dyDescent="0.2">
      <c r="A25" s="5">
        <v>9</v>
      </c>
      <c r="B25">
        <f t="shared" si="0"/>
        <v>100</v>
      </c>
      <c r="C25" s="5">
        <f t="shared" si="1"/>
        <v>100</v>
      </c>
    </row>
    <row r="26" spans="1:4" x14ac:dyDescent="0.2">
      <c r="A26" s="5">
        <v>10</v>
      </c>
      <c r="B26">
        <f t="shared" si="0"/>
        <v>100</v>
      </c>
      <c r="C26" s="5"/>
    </row>
    <row r="27" spans="1:4" x14ac:dyDescent="0.2">
      <c r="C27" s="5"/>
    </row>
    <row r="28" spans="1:4" x14ac:dyDescent="0.2">
      <c r="A28" s="6" t="s">
        <v>9</v>
      </c>
      <c r="B28" s="3">
        <f>IRR(B16:B26)</f>
        <v>0.10557981604988731</v>
      </c>
      <c r="C28" s="8">
        <f>IRR(C16:C26)</f>
        <v>0.13704474216582452</v>
      </c>
      <c r="D28" t="e">
        <f ca="1">getformula(C28)</f>
        <v>#NAME?</v>
      </c>
    </row>
  </sheetData>
  <mergeCells count="1">
    <mergeCell ref="A1:D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sqref="A1:E1"/>
    </sheetView>
  </sheetViews>
  <sheetFormatPr defaultRowHeight="12.75" x14ac:dyDescent="0.2"/>
  <cols>
    <col min="1" max="1" width="20.5703125" customWidth="1"/>
    <col min="2" max="2" width="14" customWidth="1"/>
    <col min="3" max="3" width="20" customWidth="1"/>
    <col min="4" max="4" width="10.7109375" customWidth="1"/>
    <col min="5" max="5" width="11.85546875" customWidth="1"/>
    <col min="8" max="8" width="12.7109375" customWidth="1"/>
    <col min="9" max="9" width="14" customWidth="1"/>
    <col min="10" max="10" width="20.85546875" bestFit="1" customWidth="1"/>
  </cols>
  <sheetData>
    <row r="1" spans="1:11" ht="18" x14ac:dyDescent="0.25">
      <c r="A1" s="79" t="s">
        <v>31</v>
      </c>
      <c r="B1" s="79"/>
      <c r="C1" s="79"/>
      <c r="D1" s="79"/>
      <c r="E1" s="79"/>
    </row>
    <row r="2" spans="1:11" x14ac:dyDescent="0.2">
      <c r="A2" t="s">
        <v>32</v>
      </c>
      <c r="B2" s="22">
        <v>1000</v>
      </c>
    </row>
    <row r="3" spans="1:11" x14ac:dyDescent="0.2">
      <c r="A3" t="s">
        <v>33</v>
      </c>
      <c r="B3" s="10">
        <v>0.1</v>
      </c>
    </row>
    <row r="4" spans="1:11" x14ac:dyDescent="0.2">
      <c r="A4" t="s">
        <v>3</v>
      </c>
      <c r="B4">
        <v>250</v>
      </c>
    </row>
    <row r="5" spans="1:11" ht="25.5" x14ac:dyDescent="0.2">
      <c r="A5" s="49" t="s">
        <v>199</v>
      </c>
      <c r="B5" s="50">
        <f>NPER(B3,B4,-B2)</f>
        <v>5.3596124235074702</v>
      </c>
      <c r="C5" t="e">
        <f ca="1">getformula(B5)</f>
        <v>#NAME?</v>
      </c>
    </row>
    <row r="7" spans="1:11" s="6" customFormat="1" ht="38.25" x14ac:dyDescent="0.2">
      <c r="A7" s="6" t="s">
        <v>6</v>
      </c>
      <c r="B7" s="4" t="s">
        <v>34</v>
      </c>
      <c r="C7" s="4" t="s">
        <v>35</v>
      </c>
      <c r="D7" s="6" t="s">
        <v>25</v>
      </c>
      <c r="E7" s="4" t="s">
        <v>36</v>
      </c>
      <c r="K7"/>
    </row>
    <row r="8" spans="1:11" x14ac:dyDescent="0.2">
      <c r="A8" s="5">
        <v>1</v>
      </c>
      <c r="B8" s="22">
        <f>B2</f>
        <v>1000</v>
      </c>
      <c r="C8" s="24">
        <f t="shared" ref="C8:C13" si="0">$B$4</f>
        <v>250</v>
      </c>
      <c r="D8" s="22">
        <f t="shared" ref="D8:D13" si="1">$B$3*B8</f>
        <v>100</v>
      </c>
      <c r="E8" s="22">
        <f t="shared" ref="E8:E13" si="2">C8-D8</f>
        <v>150</v>
      </c>
    </row>
    <row r="9" spans="1:11" x14ac:dyDescent="0.2">
      <c r="A9" s="5">
        <v>2</v>
      </c>
      <c r="B9" s="22">
        <f>B8-E8</f>
        <v>850</v>
      </c>
      <c r="C9" s="24">
        <f t="shared" si="0"/>
        <v>250</v>
      </c>
      <c r="D9" s="22">
        <f t="shared" si="1"/>
        <v>85</v>
      </c>
      <c r="E9" s="22">
        <f t="shared" si="2"/>
        <v>165</v>
      </c>
    </row>
    <row r="10" spans="1:11" x14ac:dyDescent="0.2">
      <c r="A10" s="5">
        <v>3</v>
      </c>
      <c r="B10" s="22">
        <f>B9-E9</f>
        <v>685</v>
      </c>
      <c r="C10" s="24">
        <f t="shared" si="0"/>
        <v>250</v>
      </c>
      <c r="D10" s="22">
        <f t="shared" si="1"/>
        <v>68.5</v>
      </c>
      <c r="E10" s="22">
        <f t="shared" si="2"/>
        <v>181.5</v>
      </c>
    </row>
    <row r="11" spans="1:11" x14ac:dyDescent="0.2">
      <c r="A11" s="5">
        <v>4</v>
      </c>
      <c r="B11" s="22">
        <f>B10-E10</f>
        <v>503.5</v>
      </c>
      <c r="C11" s="24">
        <f t="shared" si="0"/>
        <v>250</v>
      </c>
      <c r="D11" s="22">
        <f t="shared" si="1"/>
        <v>50.35</v>
      </c>
      <c r="E11" s="22">
        <f t="shared" si="2"/>
        <v>199.65</v>
      </c>
    </row>
    <row r="12" spans="1:11" x14ac:dyDescent="0.2">
      <c r="A12" s="5">
        <v>5</v>
      </c>
      <c r="B12" s="22">
        <f>B11-E11</f>
        <v>303.85000000000002</v>
      </c>
      <c r="C12" s="24">
        <f t="shared" si="0"/>
        <v>250</v>
      </c>
      <c r="D12" s="22">
        <f t="shared" si="1"/>
        <v>30.385000000000005</v>
      </c>
      <c r="E12" s="22">
        <f t="shared" si="2"/>
        <v>219.61500000000001</v>
      </c>
    </row>
    <row r="13" spans="1:11" x14ac:dyDescent="0.2">
      <c r="A13" s="5">
        <v>6</v>
      </c>
      <c r="B13" s="22">
        <f>B12-E12</f>
        <v>84.235000000000014</v>
      </c>
      <c r="C13" s="24">
        <f t="shared" si="0"/>
        <v>250</v>
      </c>
      <c r="D13" s="22">
        <f t="shared" si="1"/>
        <v>8.4235000000000024</v>
      </c>
      <c r="E13" s="22">
        <f t="shared" si="2"/>
        <v>241.57650000000001</v>
      </c>
    </row>
    <row r="17" spans="1:4" ht="15.75" x14ac:dyDescent="0.25">
      <c r="A17" s="84" t="s">
        <v>37</v>
      </c>
      <c r="B17" s="84"/>
      <c r="C17" s="84"/>
      <c r="D17" s="84"/>
    </row>
    <row r="18" spans="1:4" x14ac:dyDescent="0.2">
      <c r="A18" s="6" t="s">
        <v>6</v>
      </c>
      <c r="B18" s="6" t="s">
        <v>21</v>
      </c>
      <c r="C18" s="1" t="s">
        <v>22</v>
      </c>
    </row>
    <row r="19" spans="1:4" x14ac:dyDescent="0.2">
      <c r="A19" s="5">
        <v>1</v>
      </c>
      <c r="B19" s="28">
        <f>$B$4</f>
        <v>250</v>
      </c>
      <c r="C19" s="21">
        <f t="shared" ref="C19:C24" si="3">B19/(1+$B$3)^A19</f>
        <v>227.27272727272725</v>
      </c>
      <c r="D19" t="e">
        <f t="shared" ref="D19:D24" ca="1" si="4">getformula(C19)</f>
        <v>#NAME?</v>
      </c>
    </row>
    <row r="20" spans="1:4" x14ac:dyDescent="0.2">
      <c r="A20" s="5">
        <v>2</v>
      </c>
      <c r="B20" s="28">
        <f>$B$4</f>
        <v>250</v>
      </c>
      <c r="C20" s="21">
        <f t="shared" si="3"/>
        <v>206.61157024793386</v>
      </c>
      <c r="D20" t="e">
        <f t="shared" ca="1" si="4"/>
        <v>#NAME?</v>
      </c>
    </row>
    <row r="21" spans="1:4" x14ac:dyDescent="0.2">
      <c r="A21" s="5">
        <v>3</v>
      </c>
      <c r="B21" s="28">
        <f>$B$4</f>
        <v>250</v>
      </c>
      <c r="C21" s="21">
        <f t="shared" si="3"/>
        <v>187.82870022539439</v>
      </c>
      <c r="D21" t="e">
        <f t="shared" ca="1" si="4"/>
        <v>#NAME?</v>
      </c>
    </row>
    <row r="22" spans="1:4" x14ac:dyDescent="0.2">
      <c r="A22" s="5">
        <v>4</v>
      </c>
      <c r="B22" s="28">
        <f>$B$4</f>
        <v>250</v>
      </c>
      <c r="C22" s="21">
        <f t="shared" si="3"/>
        <v>170.75336384126763</v>
      </c>
      <c r="D22" t="e">
        <f t="shared" ca="1" si="4"/>
        <v>#NAME?</v>
      </c>
    </row>
    <row r="23" spans="1:4" x14ac:dyDescent="0.2">
      <c r="A23" s="5">
        <v>5</v>
      </c>
      <c r="B23" s="28">
        <f>$B$4</f>
        <v>250</v>
      </c>
      <c r="C23" s="21">
        <f t="shared" si="3"/>
        <v>155.23033076478873</v>
      </c>
      <c r="D23" t="e">
        <f t="shared" ca="1" si="4"/>
        <v>#NAME?</v>
      </c>
    </row>
    <row r="24" spans="1:4" x14ac:dyDescent="0.2">
      <c r="A24" s="5">
        <v>5.3596000000000004</v>
      </c>
      <c r="B24" s="25">
        <v>87.172200000000004</v>
      </c>
      <c r="C24" s="21">
        <f t="shared" si="3"/>
        <v>52.303381931703854</v>
      </c>
      <c r="D24" t="e">
        <f t="shared" ca="1" si="4"/>
        <v>#NAME?</v>
      </c>
    </row>
    <row r="26" spans="1:4" x14ac:dyDescent="0.2">
      <c r="B26" t="s">
        <v>22</v>
      </c>
      <c r="C26" s="28">
        <f>SUM(C19:C24)</f>
        <v>1000.0000742838157</v>
      </c>
      <c r="D26" t="e">
        <f ca="1">getformula(C26)</f>
        <v>#NAME?</v>
      </c>
    </row>
  </sheetData>
  <mergeCells count="2">
    <mergeCell ref="A1:E1"/>
    <mergeCell ref="A17:D17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51"/>
  <sheetViews>
    <sheetView topLeftCell="A16" workbookViewId="0">
      <selection sqref="A1:C1"/>
    </sheetView>
  </sheetViews>
  <sheetFormatPr defaultRowHeight="12.75" x14ac:dyDescent="0.2"/>
  <cols>
    <col min="1" max="1" width="32.7109375" customWidth="1"/>
    <col min="3" max="3" width="35.42578125" customWidth="1"/>
    <col min="7" max="7" width="24.85546875" customWidth="1"/>
  </cols>
  <sheetData>
    <row r="1" spans="1:3" ht="18" x14ac:dyDescent="0.25">
      <c r="A1" s="79" t="s">
        <v>50</v>
      </c>
      <c r="B1" s="79"/>
      <c r="C1" s="79"/>
    </row>
    <row r="2" spans="1:3" x14ac:dyDescent="0.2">
      <c r="A2" t="s">
        <v>38</v>
      </c>
      <c r="B2">
        <v>100</v>
      </c>
    </row>
    <row r="3" spans="1:3" x14ac:dyDescent="0.2">
      <c r="A3" t="s">
        <v>39</v>
      </c>
      <c r="B3">
        <v>3</v>
      </c>
    </row>
    <row r="4" spans="1:3" x14ac:dyDescent="0.2">
      <c r="A4" t="s">
        <v>40</v>
      </c>
      <c r="B4" s="10">
        <v>0.1</v>
      </c>
    </row>
    <row r="5" spans="1:3" x14ac:dyDescent="0.2">
      <c r="A5" s="29" t="s">
        <v>41</v>
      </c>
      <c r="B5" s="29">
        <f>B2*(1+B4)^B3</f>
        <v>133.10000000000005</v>
      </c>
      <c r="C5" t="e">
        <f ca="1">getformula(B5)</f>
        <v>#NAME?</v>
      </c>
    </row>
    <row r="7" spans="1:3" x14ac:dyDescent="0.2">
      <c r="A7" t="s">
        <v>38</v>
      </c>
      <c r="B7">
        <v>100</v>
      </c>
    </row>
    <row r="8" spans="1:3" x14ac:dyDescent="0.2">
      <c r="A8" t="s">
        <v>39</v>
      </c>
      <c r="B8">
        <v>3</v>
      </c>
    </row>
    <row r="9" spans="1:3" x14ac:dyDescent="0.2">
      <c r="A9" t="s">
        <v>42</v>
      </c>
      <c r="B9">
        <v>2</v>
      </c>
    </row>
    <row r="10" spans="1:3" x14ac:dyDescent="0.2">
      <c r="A10" t="s">
        <v>40</v>
      </c>
      <c r="B10" s="10">
        <f>B4</f>
        <v>0.1</v>
      </c>
    </row>
    <row r="11" spans="1:3" x14ac:dyDescent="0.2">
      <c r="A11" s="29" t="s">
        <v>41</v>
      </c>
      <c r="B11" s="29">
        <f>B7*(1+B10/B9)^(B8*B9)</f>
        <v>134.0095640625</v>
      </c>
      <c r="C11" t="e">
        <f ca="1">getformula(B11)</f>
        <v>#NAME?</v>
      </c>
    </row>
    <row r="14" spans="1:3" x14ac:dyDescent="0.2">
      <c r="A14" t="s">
        <v>38</v>
      </c>
      <c r="B14">
        <v>100</v>
      </c>
    </row>
    <row r="15" spans="1:3" x14ac:dyDescent="0.2">
      <c r="A15" t="s">
        <v>39</v>
      </c>
      <c r="B15">
        <v>3</v>
      </c>
    </row>
    <row r="16" spans="1:3" x14ac:dyDescent="0.2">
      <c r="A16" t="s">
        <v>40</v>
      </c>
      <c r="B16" s="10">
        <v>0.1</v>
      </c>
    </row>
    <row r="18" spans="1:3" ht="25.5" x14ac:dyDescent="0.2">
      <c r="A18" s="4" t="s">
        <v>43</v>
      </c>
      <c r="B18" s="4" t="s">
        <v>44</v>
      </c>
    </row>
    <row r="19" spans="1:3" x14ac:dyDescent="0.2">
      <c r="A19" s="5">
        <v>1</v>
      </c>
      <c r="B19" s="27">
        <f>$B$14*(1+$B$16/A19)^($B$15*A19)</f>
        <v>133.10000000000005</v>
      </c>
      <c r="C19" t="e">
        <f ca="1">getformula(B19)</f>
        <v>#NAME?</v>
      </c>
    </row>
    <row r="20" spans="1:3" x14ac:dyDescent="0.2">
      <c r="A20" s="5">
        <v>2</v>
      </c>
      <c r="B20" s="27">
        <f t="shared" ref="B20:B29" si="0">$B$14*(1+$B$16/A20)^($B$15*A20)</f>
        <v>134.0095640625</v>
      </c>
      <c r="C20" t="e">
        <f ca="1">getformula(B20)</f>
        <v>#NAME?</v>
      </c>
    </row>
    <row r="21" spans="1:3" x14ac:dyDescent="0.2">
      <c r="A21" s="5">
        <v>3</v>
      </c>
      <c r="B21" s="27">
        <f t="shared" si="0"/>
        <v>134.32719687380492</v>
      </c>
      <c r="C21" t="e">
        <f ca="1">getformula(B21)</f>
        <v>#NAME?</v>
      </c>
    </row>
    <row r="22" spans="1:3" x14ac:dyDescent="0.2">
      <c r="A22" s="5">
        <v>4</v>
      </c>
      <c r="B22" s="27">
        <f t="shared" si="0"/>
        <v>134.48888242462976</v>
      </c>
    </row>
    <row r="23" spans="1:3" x14ac:dyDescent="0.2">
      <c r="A23" s="5">
        <v>5</v>
      </c>
      <c r="B23" s="27">
        <f t="shared" si="0"/>
        <v>134.58683383241294</v>
      </c>
    </row>
    <row r="24" spans="1:3" x14ac:dyDescent="0.2">
      <c r="A24" s="5">
        <v>6</v>
      </c>
      <c r="B24" s="27">
        <f t="shared" si="0"/>
        <v>134.65253169320872</v>
      </c>
    </row>
    <row r="25" spans="1:3" x14ac:dyDescent="0.2">
      <c r="A25" s="5">
        <v>7</v>
      </c>
      <c r="B25" s="27">
        <f t="shared" si="0"/>
        <v>134.69965481860694</v>
      </c>
    </row>
    <row r="26" spans="1:3" x14ac:dyDescent="0.2">
      <c r="A26" s="5">
        <v>8</v>
      </c>
      <c r="B26" s="27">
        <f t="shared" si="0"/>
        <v>134.73510504143508</v>
      </c>
    </row>
    <row r="27" spans="1:3" x14ac:dyDescent="0.2">
      <c r="A27" s="5">
        <v>9</v>
      </c>
      <c r="B27" s="27">
        <f t="shared" si="0"/>
        <v>134.76274165102851</v>
      </c>
    </row>
    <row r="28" spans="1:3" x14ac:dyDescent="0.2">
      <c r="A28" s="5">
        <v>10</v>
      </c>
      <c r="B28" s="27">
        <f t="shared" si="0"/>
        <v>134.78489153329062</v>
      </c>
    </row>
    <row r="29" spans="1:3" x14ac:dyDescent="0.2">
      <c r="A29" s="5">
        <v>20</v>
      </c>
      <c r="B29" s="27">
        <f t="shared" si="0"/>
        <v>134.88501525493038</v>
      </c>
    </row>
    <row r="36" spans="1:7" x14ac:dyDescent="0.2">
      <c r="G36" s="30"/>
    </row>
    <row r="40" spans="1:7" ht="25.5" x14ac:dyDescent="0.2">
      <c r="A40" s="23" t="s">
        <v>45</v>
      </c>
      <c r="B40">
        <f>B14*EXP(B16*B15)</f>
        <v>134.98588075760031</v>
      </c>
      <c r="C40" t="e">
        <f ca="1">getformula(B40)</f>
        <v>#NAME?</v>
      </c>
    </row>
    <row r="43" spans="1:7" ht="15.75" x14ac:dyDescent="0.25">
      <c r="A43" s="9" t="s">
        <v>51</v>
      </c>
    </row>
    <row r="44" spans="1:7" x14ac:dyDescent="0.2">
      <c r="A44" t="s">
        <v>46</v>
      </c>
      <c r="B44">
        <v>100</v>
      </c>
    </row>
    <row r="45" spans="1:7" x14ac:dyDescent="0.2">
      <c r="A45" t="s">
        <v>47</v>
      </c>
      <c r="B45">
        <v>3</v>
      </c>
    </row>
    <row r="46" spans="1:7" x14ac:dyDescent="0.2">
      <c r="A46" t="s">
        <v>42</v>
      </c>
      <c r="B46">
        <v>100</v>
      </c>
    </row>
    <row r="47" spans="1:7" x14ac:dyDescent="0.2">
      <c r="A47" t="s">
        <v>40</v>
      </c>
      <c r="B47" s="10">
        <v>0.1</v>
      </c>
    </row>
    <row r="49" spans="1:3" x14ac:dyDescent="0.2">
      <c r="A49" t="s">
        <v>48</v>
      </c>
      <c r="B49">
        <f>B44/(1+B47/B46)^(B46*B45)</f>
        <v>74.092927771206604</v>
      </c>
      <c r="C49" t="e">
        <f ca="1">getformula(B49)</f>
        <v>#NAME?</v>
      </c>
    </row>
    <row r="51" spans="1:3" x14ac:dyDescent="0.2">
      <c r="A51" t="s">
        <v>49</v>
      </c>
      <c r="B51">
        <f>B44*EXP(-B47*B45)</f>
        <v>74.081822068171789</v>
      </c>
      <c r="C51" t="e">
        <f ca="1">getformula(B51)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C9"/>
  <sheetViews>
    <sheetView workbookViewId="0">
      <selection activeCell="A2" sqref="A2"/>
    </sheetView>
  </sheetViews>
  <sheetFormatPr defaultRowHeight="12.75" x14ac:dyDescent="0.2"/>
  <cols>
    <col min="1" max="1" width="32.7109375" customWidth="1"/>
    <col min="3" max="3" width="35.42578125" customWidth="1"/>
    <col min="7" max="7" width="24.85546875" customWidth="1"/>
  </cols>
  <sheetData>
    <row r="1" spans="1:3" ht="15.75" x14ac:dyDescent="0.25">
      <c r="A1" s="84" t="s">
        <v>214</v>
      </c>
      <c r="B1" s="84"/>
      <c r="C1" s="84"/>
    </row>
    <row r="2" spans="1:3" x14ac:dyDescent="0.2">
      <c r="A2" t="s">
        <v>46</v>
      </c>
      <c r="B2">
        <v>100</v>
      </c>
    </row>
    <row r="3" spans="1:3" x14ac:dyDescent="0.2">
      <c r="A3" t="s">
        <v>47</v>
      </c>
      <c r="B3">
        <v>3</v>
      </c>
    </row>
    <row r="4" spans="1:3" x14ac:dyDescent="0.2">
      <c r="A4" t="s">
        <v>42</v>
      </c>
      <c r="B4">
        <v>2</v>
      </c>
    </row>
    <row r="5" spans="1:3" x14ac:dyDescent="0.2">
      <c r="A5" t="s">
        <v>40</v>
      </c>
      <c r="B5" s="10">
        <v>0.1</v>
      </c>
    </row>
    <row r="7" spans="1:3" x14ac:dyDescent="0.2">
      <c r="A7" s="58" t="s">
        <v>48</v>
      </c>
      <c r="B7" s="58">
        <f>B2/(1+B5/B4)^(B4*B3)</f>
        <v>74.621539663662773</v>
      </c>
      <c r="C7" t="e">
        <f ca="1">getformula(B7)</f>
        <v>#NAME?</v>
      </c>
    </row>
    <row r="9" spans="1:3" x14ac:dyDescent="0.2">
      <c r="A9" s="58" t="s">
        <v>49</v>
      </c>
      <c r="B9" s="58">
        <f>B2*EXP(-B5*B3)</f>
        <v>74.081822068171789</v>
      </c>
      <c r="C9" t="e">
        <f ca="1">getformula(B9)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C9"/>
  <sheetViews>
    <sheetView workbookViewId="0">
      <selection activeCell="A2" sqref="A2"/>
    </sheetView>
  </sheetViews>
  <sheetFormatPr defaultRowHeight="12.75" x14ac:dyDescent="0.2"/>
  <cols>
    <col min="1" max="1" width="32.7109375" customWidth="1"/>
    <col min="3" max="3" width="35.42578125" customWidth="1"/>
    <col min="7" max="7" width="24.85546875" customWidth="1"/>
  </cols>
  <sheetData>
    <row r="1" spans="1:3" ht="15.75" x14ac:dyDescent="0.25">
      <c r="A1" s="84" t="s">
        <v>215</v>
      </c>
      <c r="B1" s="84"/>
      <c r="C1" s="84"/>
    </row>
    <row r="2" spans="1:3" x14ac:dyDescent="0.2">
      <c r="A2" t="s">
        <v>46</v>
      </c>
      <c r="B2">
        <v>100</v>
      </c>
    </row>
    <row r="3" spans="1:3" x14ac:dyDescent="0.2">
      <c r="A3" t="s">
        <v>47</v>
      </c>
      <c r="B3">
        <v>3</v>
      </c>
    </row>
    <row r="4" spans="1:3" x14ac:dyDescent="0.2">
      <c r="A4" t="s">
        <v>42</v>
      </c>
      <c r="B4">
        <v>100</v>
      </c>
    </row>
    <row r="5" spans="1:3" x14ac:dyDescent="0.2">
      <c r="A5" t="s">
        <v>40</v>
      </c>
      <c r="B5" s="10">
        <v>0.1</v>
      </c>
    </row>
    <row r="7" spans="1:3" x14ac:dyDescent="0.2">
      <c r="A7" s="58" t="s">
        <v>48</v>
      </c>
      <c r="B7" s="58">
        <f>B2/(1+B5/B4)^(B4*B3)</f>
        <v>74.092927771206604</v>
      </c>
      <c r="C7" t="e">
        <f ca="1">getformula(B7)</f>
        <v>#NAME?</v>
      </c>
    </row>
    <row r="9" spans="1:3" x14ac:dyDescent="0.2">
      <c r="A9" s="58" t="s">
        <v>49</v>
      </c>
      <c r="B9" s="58">
        <f>B2*EXP(-B5*B3)</f>
        <v>74.081822068171789</v>
      </c>
      <c r="C9" t="e">
        <f ca="1">getformula(B9)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24"/>
  <sheetViews>
    <sheetView workbookViewId="0">
      <selection activeCell="E20" sqref="E20"/>
    </sheetView>
  </sheetViews>
  <sheetFormatPr defaultRowHeight="12.75" x14ac:dyDescent="0.2"/>
  <cols>
    <col min="1" max="1" width="37.42578125" customWidth="1"/>
    <col min="2" max="2" width="9.42578125" bestFit="1" customWidth="1"/>
    <col min="3" max="3" width="14.140625" customWidth="1"/>
  </cols>
  <sheetData>
    <row r="1" spans="1:3" ht="39.75" customHeight="1" x14ac:dyDescent="0.2">
      <c r="A1" s="81" t="s">
        <v>68</v>
      </c>
      <c r="B1" s="82"/>
      <c r="C1" s="82"/>
    </row>
    <row r="2" spans="1:3" x14ac:dyDescent="0.2">
      <c r="A2" t="s">
        <v>52</v>
      </c>
      <c r="B2">
        <v>25</v>
      </c>
    </row>
    <row r="3" spans="1:3" x14ac:dyDescent="0.2">
      <c r="A3" t="s">
        <v>53</v>
      </c>
      <c r="B3">
        <v>40</v>
      </c>
    </row>
    <row r="4" spans="1:3" x14ac:dyDescent="0.2">
      <c r="A4" t="s">
        <v>54</v>
      </c>
      <c r="B4" s="31">
        <f>B3/B2-1</f>
        <v>0.60000000000000009</v>
      </c>
      <c r="C4" t="e">
        <f ca="1">getformula(B4)</f>
        <v>#NAME?</v>
      </c>
    </row>
    <row r="5" spans="1:3" x14ac:dyDescent="0.2">
      <c r="A5" t="s">
        <v>55</v>
      </c>
      <c r="B5" s="31">
        <f>LN(B3/B2)</f>
        <v>0.47000362924573563</v>
      </c>
      <c r="C5" t="e">
        <f ca="1">getformula(B5)</f>
        <v>#NAME?</v>
      </c>
    </row>
    <row r="7" spans="1:3" x14ac:dyDescent="0.2">
      <c r="A7" s="1" t="s">
        <v>56</v>
      </c>
    </row>
    <row r="8" spans="1:3" x14ac:dyDescent="0.2">
      <c r="A8" t="s">
        <v>57</v>
      </c>
      <c r="B8" s="32">
        <v>36458</v>
      </c>
      <c r="C8">
        <v>38.607900000000001</v>
      </c>
    </row>
    <row r="9" spans="1:3" x14ac:dyDescent="0.2">
      <c r="A9" t="s">
        <v>58</v>
      </c>
      <c r="B9" s="32">
        <v>36731</v>
      </c>
      <c r="C9">
        <v>64.437899999999999</v>
      </c>
    </row>
    <row r="11" spans="1:3" x14ac:dyDescent="0.2">
      <c r="A11" t="s">
        <v>59</v>
      </c>
      <c r="B11" s="26">
        <f>(B9-B8)/365</f>
        <v>0.74794520547945209</v>
      </c>
      <c r="C11" t="e">
        <f ca="1">getformula(B11)</f>
        <v>#NAME?</v>
      </c>
    </row>
    <row r="12" spans="1:3" x14ac:dyDescent="0.2">
      <c r="A12" t="s">
        <v>60</v>
      </c>
      <c r="B12" s="31">
        <f>1/B11*LN(C9/C8)</f>
        <v>0.68486975627105962</v>
      </c>
      <c r="C12" t="e">
        <f ca="1">getformula(B12)</f>
        <v>#NAME?</v>
      </c>
    </row>
    <row r="14" spans="1:3" x14ac:dyDescent="0.2">
      <c r="A14" s="1" t="s">
        <v>61</v>
      </c>
    </row>
    <row r="15" spans="1:3" x14ac:dyDescent="0.2">
      <c r="A15" t="s">
        <v>57</v>
      </c>
      <c r="B15" s="32">
        <v>36458</v>
      </c>
      <c r="C15">
        <v>38.607900000000001</v>
      </c>
    </row>
    <row r="16" spans="1:3" x14ac:dyDescent="0.2">
      <c r="A16" t="s">
        <v>58</v>
      </c>
      <c r="B16" s="32">
        <v>36731</v>
      </c>
      <c r="C16">
        <v>64.437899999999999</v>
      </c>
    </row>
    <row r="18" spans="1:3" x14ac:dyDescent="0.2">
      <c r="A18" t="s">
        <v>62</v>
      </c>
      <c r="B18" s="33">
        <f>(B16-B15)</f>
        <v>273</v>
      </c>
      <c r="C18" t="e">
        <f ca="1">getformula(B18)</f>
        <v>#NAME?</v>
      </c>
    </row>
    <row r="19" spans="1:3" x14ac:dyDescent="0.2">
      <c r="A19" t="s">
        <v>63</v>
      </c>
      <c r="B19" s="34">
        <f>(C16/C15)^(1/B18)-1</f>
        <v>1.878116953141884E-3</v>
      </c>
      <c r="C19" t="e">
        <f ca="1">getformula(B19)</f>
        <v>#NAME?</v>
      </c>
    </row>
    <row r="20" spans="1:3" x14ac:dyDescent="0.2">
      <c r="A20" t="s">
        <v>64</v>
      </c>
      <c r="B20" s="31">
        <f>(1+B19)^365-1</f>
        <v>0.98351347852102355</v>
      </c>
      <c r="C20" t="e">
        <f ca="1">getformula(B20)</f>
        <v>#NAME?</v>
      </c>
    </row>
    <row r="22" spans="1:3" x14ac:dyDescent="0.2">
      <c r="A22" s="23" t="s">
        <v>65</v>
      </c>
    </row>
    <row r="23" spans="1:3" x14ac:dyDescent="0.2">
      <c r="A23" t="s">
        <v>66</v>
      </c>
      <c r="B23" s="34">
        <f>B12/365</f>
        <v>1.8763554966330399E-3</v>
      </c>
      <c r="C23" t="e">
        <f ca="1">getformula(B23)</f>
        <v>#NAME?</v>
      </c>
    </row>
    <row r="24" spans="1:3" x14ac:dyDescent="0.2">
      <c r="A24" t="s">
        <v>67</v>
      </c>
      <c r="B24" s="35">
        <f>B19</f>
        <v>1.878116953141884E-3</v>
      </c>
      <c r="C24" t="e">
        <f ca="1">getformula(B24)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21"/>
  <sheetViews>
    <sheetView workbookViewId="0">
      <selection sqref="A1:C1"/>
    </sheetView>
  </sheetViews>
  <sheetFormatPr defaultRowHeight="12.75" x14ac:dyDescent="0.2"/>
  <cols>
    <col min="1" max="1" width="26.7109375" customWidth="1"/>
    <col min="2" max="2" width="16.85546875" customWidth="1"/>
    <col min="3" max="3" width="22.85546875" bestFit="1" customWidth="1"/>
  </cols>
  <sheetData>
    <row r="1" spans="1:3" ht="18" x14ac:dyDescent="0.25">
      <c r="A1" s="79" t="s">
        <v>80</v>
      </c>
      <c r="B1" s="79"/>
      <c r="C1" s="79"/>
    </row>
    <row r="2" spans="1:3" x14ac:dyDescent="0.2">
      <c r="A2" t="s">
        <v>69</v>
      </c>
      <c r="B2" s="36">
        <f>PI()</f>
        <v>3.1415926535897931</v>
      </c>
      <c r="C2" t="e">
        <f ca="1">getformula(B2)</f>
        <v>#NAME?</v>
      </c>
    </row>
    <row r="4" spans="1:3" x14ac:dyDescent="0.2">
      <c r="A4" t="s">
        <v>70</v>
      </c>
      <c r="B4" s="37">
        <f>ROUND(B2,0)</f>
        <v>3</v>
      </c>
      <c r="C4" t="e">
        <f ca="1">getformula(B4)</f>
        <v>#NAME?</v>
      </c>
    </row>
    <row r="5" spans="1:3" x14ac:dyDescent="0.2">
      <c r="A5" t="s">
        <v>71</v>
      </c>
      <c r="B5" s="37">
        <f>ROUND(B2,3)</f>
        <v>3.1419999999999999</v>
      </c>
      <c r="C5" t="e">
        <f ca="1">getformula(B5)</f>
        <v>#NAME?</v>
      </c>
    </row>
    <row r="6" spans="1:3" x14ac:dyDescent="0.2">
      <c r="B6" s="38"/>
    </row>
    <row r="7" spans="1:3" x14ac:dyDescent="0.2">
      <c r="A7" t="s">
        <v>72</v>
      </c>
      <c r="B7" s="37">
        <f>ROUNDDOWN(B2,0)</f>
        <v>3</v>
      </c>
      <c r="C7" t="e">
        <f ca="1">getformula(B7)</f>
        <v>#NAME?</v>
      </c>
    </row>
    <row r="8" spans="1:3" x14ac:dyDescent="0.2">
      <c r="A8" t="s">
        <v>73</v>
      </c>
      <c r="B8" s="37">
        <f>ROUNDDOWN(B2,3)</f>
        <v>3.141</v>
      </c>
      <c r="C8" t="e">
        <f ca="1">getformula(B8)</f>
        <v>#NAME?</v>
      </c>
    </row>
    <row r="9" spans="1:3" x14ac:dyDescent="0.2">
      <c r="B9" s="38"/>
    </row>
    <row r="10" spans="1:3" x14ac:dyDescent="0.2">
      <c r="A10" t="s">
        <v>74</v>
      </c>
      <c r="B10" s="37">
        <f>ROUNDUP(B2,0)</f>
        <v>4</v>
      </c>
      <c r="C10" t="e">
        <f ca="1">getformula(B10)</f>
        <v>#NAME?</v>
      </c>
    </row>
    <row r="11" spans="1:3" x14ac:dyDescent="0.2">
      <c r="A11" t="s">
        <v>75</v>
      </c>
      <c r="B11" s="37">
        <f>ROUNDUP(B2,4)</f>
        <v>3.1416000000000004</v>
      </c>
      <c r="C11" t="e">
        <f ca="1">getformula(B11)</f>
        <v>#NAME?</v>
      </c>
    </row>
    <row r="12" spans="1:3" x14ac:dyDescent="0.2">
      <c r="B12" s="38"/>
    </row>
    <row r="13" spans="1:3" x14ac:dyDescent="0.2">
      <c r="A13" t="s">
        <v>76</v>
      </c>
      <c r="B13" s="37">
        <f>TRUNC(B2)</f>
        <v>3</v>
      </c>
      <c r="C13" t="e">
        <f ca="1">getformula(B13)</f>
        <v>#NAME?</v>
      </c>
    </row>
    <row r="14" spans="1:3" x14ac:dyDescent="0.2">
      <c r="A14" t="s">
        <v>77</v>
      </c>
      <c r="B14" s="37">
        <f>TRUNC(B2,5)</f>
        <v>3.1415899999999999</v>
      </c>
      <c r="C14" t="e">
        <f ca="1">getformula(B14)</f>
        <v>#NAME?</v>
      </c>
    </row>
    <row r="16" spans="1:3" x14ac:dyDescent="0.2">
      <c r="A16" t="s">
        <v>69</v>
      </c>
      <c r="B16">
        <v>4.5632000000000001</v>
      </c>
    </row>
    <row r="17" spans="1:3" x14ac:dyDescent="0.2">
      <c r="A17" t="s">
        <v>78</v>
      </c>
      <c r="B17">
        <f>ROUND(B16,2)</f>
        <v>4.5599999999999996</v>
      </c>
      <c r="C17" t="e">
        <f ca="1">getformula(B17)</f>
        <v>#NAME?</v>
      </c>
    </row>
    <row r="18" spans="1:3" x14ac:dyDescent="0.2">
      <c r="A18" t="s">
        <v>79</v>
      </c>
      <c r="B18" s="28">
        <f>B16</f>
        <v>4.5632000000000001</v>
      </c>
      <c r="C18" t="e">
        <f ca="1">getformula(B18)</f>
        <v>#NAME?</v>
      </c>
    </row>
    <row r="20" spans="1:3" x14ac:dyDescent="0.2">
      <c r="A20" s="59" t="s">
        <v>212</v>
      </c>
      <c r="B20">
        <f>10*B17</f>
        <v>45.599999999999994</v>
      </c>
      <c r="C20" t="e">
        <f ca="1">getformula(B20)</f>
        <v>#NAME?</v>
      </c>
    </row>
    <row r="21" spans="1:3" x14ac:dyDescent="0.2">
      <c r="A21" s="59" t="s">
        <v>213</v>
      </c>
      <c r="B21">
        <f>10*B18</f>
        <v>45.632000000000005</v>
      </c>
      <c r="C21" t="e">
        <f ca="1">getformula(B21)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C4"/>
  <sheetViews>
    <sheetView workbookViewId="0">
      <selection sqref="A1:C1"/>
    </sheetView>
  </sheetViews>
  <sheetFormatPr defaultRowHeight="12.75" x14ac:dyDescent="0.2"/>
  <cols>
    <col min="1" max="1" width="13.42578125" bestFit="1" customWidth="1"/>
    <col min="3" max="3" width="13.5703125" bestFit="1" customWidth="1"/>
  </cols>
  <sheetData>
    <row r="1" spans="1:3" ht="18" x14ac:dyDescent="0.25">
      <c r="A1" s="79" t="s">
        <v>81</v>
      </c>
      <c r="B1" s="79"/>
      <c r="C1" s="79"/>
    </row>
    <row r="2" spans="1:3" x14ac:dyDescent="0.2">
      <c r="A2" t="s">
        <v>69</v>
      </c>
      <c r="B2">
        <v>3</v>
      </c>
    </row>
    <row r="3" spans="1:3" x14ac:dyDescent="0.2">
      <c r="A3" t="s">
        <v>82</v>
      </c>
      <c r="B3">
        <f>SQRT(B2)</f>
        <v>1.7320508075688772</v>
      </c>
      <c r="C3" t="e">
        <f ca="1">getformula(B3)</f>
        <v>#NAME?</v>
      </c>
    </row>
    <row r="4" spans="1:3" x14ac:dyDescent="0.2">
      <c r="A4" t="s">
        <v>83</v>
      </c>
      <c r="B4">
        <f>B2^(1/2)</f>
        <v>1.7320508075688772</v>
      </c>
      <c r="C4" t="e">
        <f ca="1">getformula(B4)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E24"/>
  <sheetViews>
    <sheetView workbookViewId="0">
      <selection activeCell="A2" sqref="A2"/>
    </sheetView>
  </sheetViews>
  <sheetFormatPr defaultRowHeight="12.75" x14ac:dyDescent="0.2"/>
  <cols>
    <col min="1" max="1" width="9" customWidth="1"/>
    <col min="2" max="2" width="24" customWidth="1"/>
    <col min="3" max="3" width="10.140625" customWidth="1"/>
    <col min="4" max="4" width="12.5703125" customWidth="1"/>
    <col min="5" max="5" width="13.28515625" customWidth="1"/>
    <col min="6" max="6" width="19" customWidth="1"/>
  </cols>
  <sheetData>
    <row r="1" spans="1:5" ht="18" x14ac:dyDescent="0.25">
      <c r="A1" s="79" t="s">
        <v>216</v>
      </c>
      <c r="B1" s="79"/>
      <c r="C1" s="15"/>
    </row>
    <row r="2" spans="1:5" x14ac:dyDescent="0.2">
      <c r="A2">
        <v>1</v>
      </c>
    </row>
    <row r="3" spans="1:5" x14ac:dyDescent="0.2">
      <c r="A3">
        <v>2</v>
      </c>
    </row>
    <row r="4" spans="1:5" x14ac:dyDescent="0.2">
      <c r="A4">
        <v>3</v>
      </c>
    </row>
    <row r="5" spans="1:5" x14ac:dyDescent="0.2">
      <c r="A5">
        <v>4</v>
      </c>
    </row>
    <row r="6" spans="1:5" x14ac:dyDescent="0.2">
      <c r="A6">
        <v>5</v>
      </c>
    </row>
    <row r="7" spans="1:5" x14ac:dyDescent="0.2">
      <c r="A7">
        <f>SUM(A2:A6)</f>
        <v>15</v>
      </c>
      <c r="B7" t="e">
        <f ca="1">getformula(A7)</f>
        <v>#NAME?</v>
      </c>
    </row>
    <row r="9" spans="1:5" x14ac:dyDescent="0.2">
      <c r="A9" s="6" t="s">
        <v>84</v>
      </c>
      <c r="D9" s="6" t="s">
        <v>85</v>
      </c>
      <c r="E9" s="6" t="s">
        <v>86</v>
      </c>
    </row>
    <row r="10" spans="1:5" x14ac:dyDescent="0.2">
      <c r="A10" s="5">
        <v>30</v>
      </c>
      <c r="D10" s="5">
        <v>30</v>
      </c>
      <c r="E10" s="40">
        <v>55</v>
      </c>
    </row>
    <row r="11" spans="1:5" x14ac:dyDescent="0.2">
      <c r="A11" s="5">
        <v>50</v>
      </c>
      <c r="D11" s="5">
        <v>50</v>
      </c>
      <c r="E11" s="40">
        <v>89</v>
      </c>
    </row>
    <row r="12" spans="1:5" x14ac:dyDescent="0.2">
      <c r="A12" s="5">
        <v>80</v>
      </c>
      <c r="D12" s="5">
        <v>80</v>
      </c>
      <c r="E12" s="5">
        <v>22</v>
      </c>
    </row>
    <row r="13" spans="1:5" x14ac:dyDescent="0.2">
      <c r="A13" s="5">
        <v>90</v>
      </c>
      <c r="D13" s="5">
        <v>90</v>
      </c>
      <c r="E13" s="40">
        <v>65</v>
      </c>
    </row>
    <row r="14" spans="1:5" x14ac:dyDescent="0.2">
      <c r="A14" s="5">
        <v>20</v>
      </c>
      <c r="D14" s="5">
        <v>20</v>
      </c>
      <c r="E14" s="5">
        <v>35</v>
      </c>
    </row>
    <row r="15" spans="1:5" x14ac:dyDescent="0.2">
      <c r="A15" s="5">
        <f>SUMIF(A10:A14,"&gt;30")</f>
        <v>220</v>
      </c>
      <c r="B15" t="e">
        <f ca="1">getformula(A15)</f>
        <v>#NAME?</v>
      </c>
      <c r="D15" s="5">
        <f>SUMIF(E10:E14,"&gt;40",D10:D14)</f>
        <v>170</v>
      </c>
      <c r="E15" t="e">
        <f ca="1">getformula(D15)</f>
        <v>#NAME?</v>
      </c>
    </row>
    <row r="18" spans="1:4" ht="32.25" customHeight="1" x14ac:dyDescent="0.2">
      <c r="A18" s="6" t="s">
        <v>87</v>
      </c>
      <c r="B18" s="4" t="s">
        <v>88</v>
      </c>
      <c r="C18" s="4" t="s">
        <v>89</v>
      </c>
    </row>
    <row r="19" spans="1:4" x14ac:dyDescent="0.2">
      <c r="A19" s="5">
        <v>1</v>
      </c>
      <c r="B19" s="41">
        <v>0.2</v>
      </c>
      <c r="C19" s="41">
        <v>0.15</v>
      </c>
    </row>
    <row r="20" spans="1:4" x14ac:dyDescent="0.2">
      <c r="A20" s="5">
        <v>2</v>
      </c>
      <c r="B20" s="41">
        <v>0.08</v>
      </c>
      <c r="C20" s="41">
        <v>0.22</v>
      </c>
    </row>
    <row r="21" spans="1:4" x14ac:dyDescent="0.2">
      <c r="A21" s="5">
        <v>3</v>
      </c>
      <c r="B21" s="41">
        <v>0.15</v>
      </c>
      <c r="C21" s="41">
        <v>0.38</v>
      </c>
    </row>
    <row r="22" spans="1:4" x14ac:dyDescent="0.2">
      <c r="A22" s="5">
        <v>4</v>
      </c>
      <c r="B22" s="41">
        <v>0.12</v>
      </c>
      <c r="C22" s="41">
        <f>1-SUM(C19:C21)</f>
        <v>0.25</v>
      </c>
    </row>
    <row r="24" spans="1:4" x14ac:dyDescent="0.2">
      <c r="B24" s="39" t="s">
        <v>90</v>
      </c>
      <c r="C24" s="31">
        <f>SUMPRODUCT(B19:B22,C19:C22)</f>
        <v>0.1346</v>
      </c>
      <c r="D24" t="e">
        <f ca="1">getformula(C24)</f>
        <v>#NAME?</v>
      </c>
    </row>
  </sheetData>
  <mergeCells count="1">
    <mergeCell ref="A1:B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D6"/>
  <sheetViews>
    <sheetView workbookViewId="0">
      <selection sqref="A1:C1"/>
    </sheetView>
  </sheetViews>
  <sheetFormatPr defaultRowHeight="12.75" x14ac:dyDescent="0.2"/>
  <cols>
    <col min="1" max="1" width="16.28515625" customWidth="1"/>
    <col min="2" max="2" width="20" customWidth="1"/>
    <col min="3" max="3" width="47.42578125" bestFit="1" customWidth="1"/>
  </cols>
  <sheetData>
    <row r="1" spans="1:4" ht="18" x14ac:dyDescent="0.25">
      <c r="A1" s="79" t="s">
        <v>91</v>
      </c>
      <c r="B1" s="79"/>
      <c r="C1" s="79"/>
      <c r="D1" s="15"/>
    </row>
    <row r="2" spans="1:4" x14ac:dyDescent="0.2">
      <c r="A2" t="s">
        <v>92</v>
      </c>
      <c r="B2">
        <v>2</v>
      </c>
    </row>
    <row r="3" spans="1:4" x14ac:dyDescent="0.2">
      <c r="A3" t="s">
        <v>93</v>
      </c>
      <c r="B3">
        <f>IF(B2&lt;=3,15,0)</f>
        <v>15</v>
      </c>
      <c r="C3" t="e">
        <f ca="1">getformula(B3)</f>
        <v>#NAME?</v>
      </c>
    </row>
    <row r="5" spans="1:4" x14ac:dyDescent="0.2">
      <c r="A5" t="s">
        <v>92</v>
      </c>
      <c r="B5">
        <v>2</v>
      </c>
    </row>
    <row r="6" spans="1:4" x14ac:dyDescent="0.2">
      <c r="A6" t="s">
        <v>93</v>
      </c>
      <c r="B6" t="str">
        <f>IF(B5&lt;=3,"Less than or equal to 3","More than 3")</f>
        <v>Less than or equal to 3</v>
      </c>
      <c r="C6" t="e">
        <f ca="1">getformula(B6)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horizontalDpi="4294967292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9"/>
  <sheetViews>
    <sheetView workbookViewId="0">
      <selection sqref="A1:C1"/>
    </sheetView>
  </sheetViews>
  <sheetFormatPr defaultRowHeight="12.75" x14ac:dyDescent="0.2"/>
  <cols>
    <col min="3" max="3" width="26.28515625" bestFit="1" customWidth="1"/>
  </cols>
  <sheetData>
    <row r="1" spans="1:5" ht="18" x14ac:dyDescent="0.25">
      <c r="A1" s="79" t="s">
        <v>94</v>
      </c>
      <c r="B1" s="79"/>
      <c r="C1" s="79"/>
      <c r="D1" s="15"/>
      <c r="E1" s="15"/>
    </row>
    <row r="2" spans="1:5" ht="25.5" x14ac:dyDescent="0.2">
      <c r="A2" s="12" t="s">
        <v>95</v>
      </c>
      <c r="B2" s="13" t="s">
        <v>127</v>
      </c>
    </row>
    <row r="3" spans="1:5" x14ac:dyDescent="0.2">
      <c r="A3" s="42">
        <v>0</v>
      </c>
      <c r="B3" s="10">
        <v>0</v>
      </c>
    </row>
    <row r="4" spans="1:5" x14ac:dyDescent="0.2">
      <c r="A4" s="42">
        <v>8000</v>
      </c>
      <c r="B4" s="10">
        <v>0.15</v>
      </c>
    </row>
    <row r="5" spans="1:5" x14ac:dyDescent="0.2">
      <c r="A5" s="42">
        <v>14000</v>
      </c>
      <c r="B5" s="10">
        <v>0.25</v>
      </c>
    </row>
    <row r="6" spans="1:5" x14ac:dyDescent="0.2">
      <c r="A6" s="42">
        <v>25000</v>
      </c>
      <c r="B6" s="10">
        <v>0.38</v>
      </c>
    </row>
    <row r="8" spans="1:5" x14ac:dyDescent="0.2">
      <c r="A8" t="s">
        <v>95</v>
      </c>
      <c r="B8" s="2">
        <v>15000</v>
      </c>
    </row>
    <row r="9" spans="1:5" x14ac:dyDescent="0.2">
      <c r="A9" t="s">
        <v>96</v>
      </c>
      <c r="B9" s="43">
        <f>VLOOKUP(B8,A3:B6,2)</f>
        <v>0.25</v>
      </c>
      <c r="C9" t="e">
        <f ca="1">getformula(B9)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verticalDpi="300" r:id="rId1"/>
  <headerFooter alignWithMargins="0">
    <oddHeader>&amp;CUN-22U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19"/>
  <sheetViews>
    <sheetView workbookViewId="0">
      <selection activeCell="I13" sqref="I13"/>
    </sheetView>
  </sheetViews>
  <sheetFormatPr defaultRowHeight="12.75" x14ac:dyDescent="0.2"/>
  <cols>
    <col min="1" max="1" width="20.28515625" customWidth="1"/>
    <col min="2" max="2" width="12.28515625" bestFit="1" customWidth="1"/>
    <col min="4" max="4" width="12.5703125" bestFit="1" customWidth="1"/>
    <col min="5" max="5" width="4" bestFit="1" customWidth="1"/>
    <col min="6" max="6" width="13.5703125" bestFit="1" customWidth="1"/>
    <col min="7" max="7" width="2.7109375" customWidth="1"/>
    <col min="9" max="9" width="30" bestFit="1" customWidth="1"/>
    <col min="10" max="10" width="13.28515625" bestFit="1" customWidth="1"/>
    <col min="11" max="11" width="19.140625" bestFit="1" customWidth="1"/>
  </cols>
  <sheetData>
    <row r="1" spans="1:11" ht="18" x14ac:dyDescent="0.25">
      <c r="A1" s="79" t="s">
        <v>97</v>
      </c>
      <c r="B1" s="79"/>
      <c r="C1" s="79"/>
      <c r="D1" s="79"/>
      <c r="E1" s="79"/>
      <c r="F1" s="79"/>
      <c r="G1" s="15"/>
    </row>
    <row r="2" spans="1:11" ht="29.25" customHeight="1" x14ac:dyDescent="0.2">
      <c r="A2" s="66" t="s">
        <v>98</v>
      </c>
      <c r="B2" s="4" t="s">
        <v>99</v>
      </c>
      <c r="C2" s="5"/>
      <c r="D2" s="66" t="s">
        <v>100</v>
      </c>
      <c r="E2" s="66" t="s">
        <v>101</v>
      </c>
      <c r="F2" s="66" t="s">
        <v>6</v>
      </c>
      <c r="G2" s="5"/>
      <c r="H2" s="4" t="s">
        <v>102</v>
      </c>
      <c r="J2" s="4" t="s">
        <v>103</v>
      </c>
    </row>
    <row r="3" spans="1:11" x14ac:dyDescent="0.2">
      <c r="A3" t="s">
        <v>104</v>
      </c>
      <c r="B3" s="56">
        <v>6.7210000000000006E-2</v>
      </c>
      <c r="D3" t="str">
        <f>LEFT(A3,3)</f>
        <v>JAN</v>
      </c>
      <c r="E3" t="str">
        <f>MID(A3,6,2)</f>
        <v>07</v>
      </c>
      <c r="F3" t="str">
        <f t="shared" ref="F3:F10" si="0">RIGHT(A3,4)</f>
        <v>1991</v>
      </c>
      <c r="H3">
        <f t="shared" ref="H3:H10" si="1">VLOOKUP(D3,$J$6:$K$17,2)</f>
        <v>1</v>
      </c>
      <c r="I3" t="e">
        <f ca="1">getformula(H3)</f>
        <v>#NAME?</v>
      </c>
      <c r="J3" s="44">
        <f>DATE(F3,H3,E3)</f>
        <v>33245</v>
      </c>
      <c r="K3" t="e">
        <f ca="1">getformula(J3)</f>
        <v>#NAME?</v>
      </c>
    </row>
    <row r="4" spans="1:11" x14ac:dyDescent="0.2">
      <c r="A4" t="s">
        <v>105</v>
      </c>
      <c r="B4" s="56">
        <v>6.1449999999999998E-2</v>
      </c>
      <c r="D4" t="str">
        <f t="shared" ref="D4:D10" si="2">LEFT(A4,3)</f>
        <v>FEB</v>
      </c>
      <c r="E4" t="str">
        <f t="shared" ref="E4:E10" si="3">MID(A4,6,2)</f>
        <v>07</v>
      </c>
      <c r="F4" t="str">
        <f t="shared" si="0"/>
        <v>1991</v>
      </c>
      <c r="H4">
        <f t="shared" si="1"/>
        <v>2</v>
      </c>
    </row>
    <row r="5" spans="1:11" x14ac:dyDescent="0.2">
      <c r="A5" t="s">
        <v>107</v>
      </c>
      <c r="B5" s="56">
        <v>6.0299999999999999E-2</v>
      </c>
      <c r="D5" t="str">
        <f t="shared" si="2"/>
        <v>FEB</v>
      </c>
      <c r="E5" t="str">
        <f t="shared" si="3"/>
        <v>11</v>
      </c>
      <c r="F5" t="str">
        <f t="shared" si="0"/>
        <v>1991</v>
      </c>
      <c r="H5">
        <f t="shared" si="1"/>
        <v>2</v>
      </c>
      <c r="J5" s="51" t="s">
        <v>108</v>
      </c>
      <c r="K5" s="52"/>
    </row>
    <row r="6" spans="1:11" x14ac:dyDescent="0.2">
      <c r="A6" t="s">
        <v>109</v>
      </c>
      <c r="B6" s="56">
        <v>6.2869999999999995E-2</v>
      </c>
      <c r="D6" t="str">
        <f t="shared" si="2"/>
        <v>MAR</v>
      </c>
      <c r="E6" t="str">
        <f t="shared" si="3"/>
        <v>04</v>
      </c>
      <c r="F6" t="str">
        <f t="shared" si="0"/>
        <v>1991</v>
      </c>
      <c r="H6">
        <f t="shared" si="1"/>
        <v>3</v>
      </c>
      <c r="J6" s="52" t="s">
        <v>110</v>
      </c>
      <c r="K6" s="53">
        <v>4</v>
      </c>
    </row>
    <row r="7" spans="1:11" x14ac:dyDescent="0.2">
      <c r="A7" t="s">
        <v>111</v>
      </c>
      <c r="B7" s="56">
        <v>5.985E-2</v>
      </c>
      <c r="D7" t="str">
        <f t="shared" si="2"/>
        <v>APR</v>
      </c>
      <c r="E7" t="str">
        <f t="shared" si="3"/>
        <v>01</v>
      </c>
      <c r="F7" t="str">
        <f t="shared" si="0"/>
        <v>1991</v>
      </c>
      <c r="H7">
        <f t="shared" si="1"/>
        <v>4</v>
      </c>
      <c r="J7" s="52" t="s">
        <v>112</v>
      </c>
      <c r="K7" s="53">
        <v>8</v>
      </c>
    </row>
    <row r="8" spans="1:11" x14ac:dyDescent="0.2">
      <c r="A8" t="s">
        <v>113</v>
      </c>
      <c r="B8" s="56">
        <v>5.7770000000000002E-2</v>
      </c>
      <c r="D8" t="str">
        <f t="shared" si="2"/>
        <v>JUN</v>
      </c>
      <c r="E8" t="str">
        <f t="shared" si="3"/>
        <v>08</v>
      </c>
      <c r="F8" t="str">
        <f t="shared" si="0"/>
        <v>1991</v>
      </c>
      <c r="H8">
        <f t="shared" si="1"/>
        <v>6</v>
      </c>
      <c r="J8" s="52" t="s">
        <v>114</v>
      </c>
      <c r="K8" s="53">
        <v>12</v>
      </c>
    </row>
    <row r="9" spans="1:11" x14ac:dyDescent="0.2">
      <c r="A9" t="s">
        <v>115</v>
      </c>
      <c r="B9" s="56">
        <v>5.7439999999999998E-2</v>
      </c>
      <c r="D9" t="str">
        <f t="shared" si="2"/>
        <v>AUG</v>
      </c>
      <c r="E9" t="str">
        <f t="shared" si="3"/>
        <v>15</v>
      </c>
      <c r="F9" t="str">
        <f t="shared" si="0"/>
        <v>1991</v>
      </c>
      <c r="H9">
        <f t="shared" si="1"/>
        <v>8</v>
      </c>
      <c r="J9" s="52" t="s">
        <v>106</v>
      </c>
      <c r="K9" s="53">
        <v>2</v>
      </c>
    </row>
    <row r="10" spans="1:11" x14ac:dyDescent="0.2">
      <c r="A10" t="s">
        <v>116</v>
      </c>
      <c r="B10" s="56">
        <v>5.8680000000000003E-2</v>
      </c>
      <c r="D10" t="str">
        <f t="shared" si="2"/>
        <v>OCT</v>
      </c>
      <c r="E10" t="str">
        <f t="shared" si="3"/>
        <v>22</v>
      </c>
      <c r="F10" t="str">
        <f t="shared" si="0"/>
        <v>1991</v>
      </c>
      <c r="H10">
        <f t="shared" si="1"/>
        <v>10</v>
      </c>
      <c r="J10" s="52" t="s">
        <v>117</v>
      </c>
      <c r="K10" s="53">
        <v>1</v>
      </c>
    </row>
    <row r="11" spans="1:11" x14ac:dyDescent="0.2">
      <c r="J11" s="52" t="s">
        <v>118</v>
      </c>
      <c r="K11" s="53">
        <v>7</v>
      </c>
    </row>
    <row r="12" spans="1:11" ht="13.5" thickBot="1" x14ac:dyDescent="0.25">
      <c r="J12" s="52" t="s">
        <v>119</v>
      </c>
      <c r="K12" s="53">
        <v>6</v>
      </c>
    </row>
    <row r="13" spans="1:11" ht="13.5" thickBot="1" x14ac:dyDescent="0.25">
      <c r="B13" s="71" t="e">
        <f ca="1">_xlfn.FORMULATEXT(D10)</f>
        <v>#NAME?</v>
      </c>
      <c r="D13" s="71" t="e">
        <f ca="1">_xlfn.FORMULATEXT(E10)</f>
        <v>#NAME?</v>
      </c>
      <c r="F13" s="71" t="e">
        <f ca="1">_xlfn.FORMULATEXT(F10)</f>
        <v>#NAME?</v>
      </c>
      <c r="J13" s="52" t="s">
        <v>120</v>
      </c>
      <c r="K13" s="53">
        <v>3</v>
      </c>
    </row>
    <row r="14" spans="1:11" x14ac:dyDescent="0.2">
      <c r="J14" s="52" t="s">
        <v>121</v>
      </c>
      <c r="K14" s="53">
        <v>5</v>
      </c>
    </row>
    <row r="15" spans="1:11" x14ac:dyDescent="0.2">
      <c r="J15" s="52" t="s">
        <v>122</v>
      </c>
      <c r="K15" s="53">
        <v>11</v>
      </c>
    </row>
    <row r="16" spans="1:11" x14ac:dyDescent="0.2">
      <c r="J16" s="52" t="s">
        <v>123</v>
      </c>
      <c r="K16" s="53">
        <v>10</v>
      </c>
    </row>
    <row r="17" spans="1:11" x14ac:dyDescent="0.2">
      <c r="J17" s="52" t="s">
        <v>124</v>
      </c>
      <c r="K17" s="53">
        <v>9</v>
      </c>
    </row>
    <row r="18" spans="1:11" ht="25.5" x14ac:dyDescent="0.2">
      <c r="A18" s="4" t="s">
        <v>125</v>
      </c>
      <c r="B18" s="4" t="s">
        <v>126</v>
      </c>
    </row>
    <row r="19" spans="1:11" x14ac:dyDescent="0.2">
      <c r="A19" s="32">
        <v>33245</v>
      </c>
      <c r="B19" s="38">
        <f>A19</f>
        <v>33245</v>
      </c>
    </row>
  </sheetData>
  <mergeCells count="1">
    <mergeCell ref="A1:F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C23"/>
  <sheetViews>
    <sheetView workbookViewId="0">
      <selection activeCell="A4" sqref="A4"/>
    </sheetView>
  </sheetViews>
  <sheetFormatPr defaultRowHeight="12.75" x14ac:dyDescent="0.2"/>
  <cols>
    <col min="1" max="1" width="31.85546875" customWidth="1"/>
    <col min="2" max="2" width="20.42578125" customWidth="1"/>
    <col min="3" max="3" width="32.85546875" bestFit="1" customWidth="1"/>
  </cols>
  <sheetData>
    <row r="1" spans="1:3" ht="18" x14ac:dyDescent="0.25">
      <c r="A1" s="79" t="s">
        <v>128</v>
      </c>
      <c r="B1" s="79"/>
      <c r="C1" s="79"/>
    </row>
    <row r="2" spans="1:3" x14ac:dyDescent="0.2">
      <c r="A2" t="s">
        <v>129</v>
      </c>
      <c r="B2" t="s">
        <v>130</v>
      </c>
    </row>
    <row r="4" spans="1:3" x14ac:dyDescent="0.2">
      <c r="A4" t="e">
        <f>A2+B2</f>
        <v>#VALUE!</v>
      </c>
      <c r="B4" t="e">
        <f ca="1">getformula(A4)</f>
        <v>#NAME?</v>
      </c>
    </row>
    <row r="5" spans="1:3" x14ac:dyDescent="0.2">
      <c r="A5" t="str">
        <f>A2&amp;B2</f>
        <v>Twelvecows</v>
      </c>
      <c r="B5" t="e">
        <f ca="1">getformula(A5)</f>
        <v>#NAME?</v>
      </c>
    </row>
    <row r="7" spans="1:3" x14ac:dyDescent="0.2">
      <c r="A7" t="str">
        <f>A2&amp;"  blue "&amp;B2</f>
        <v>Twelve  blue cows</v>
      </c>
      <c r="B7" t="e">
        <f ca="1">getformula(A7)</f>
        <v>#NAME?</v>
      </c>
    </row>
    <row r="10" spans="1:3" x14ac:dyDescent="0.2">
      <c r="A10" t="s">
        <v>131</v>
      </c>
      <c r="B10">
        <v>1200</v>
      </c>
    </row>
    <row r="12" spans="1:3" x14ac:dyDescent="0.2">
      <c r="A12" t="s">
        <v>132</v>
      </c>
      <c r="B12" t="str">
        <f>TEXT(B10,"0")&amp;" cows"</f>
        <v>1200 cows</v>
      </c>
      <c r="C12" t="e">
        <f ca="1">getformula(B12)</f>
        <v>#NAME?</v>
      </c>
    </row>
    <row r="14" spans="1:3" x14ac:dyDescent="0.2">
      <c r="B14" t="str">
        <f>TEXT(B10,"0.00")&amp;" cows"</f>
        <v>1200.00 cows</v>
      </c>
      <c r="C14" t="e">
        <f ca="1">getformula(B14)</f>
        <v>#NAME?</v>
      </c>
    </row>
    <row r="15" spans="1:3" x14ac:dyDescent="0.2">
      <c r="B15" t="str">
        <f>TEXT(B10,"0,000.0")&amp;" cows"</f>
        <v>1,200.0 cows</v>
      </c>
      <c r="C15" t="e">
        <f ca="1">getformula(B15)</f>
        <v>#NAME?</v>
      </c>
    </row>
    <row r="16" spans="1:3" x14ac:dyDescent="0.2">
      <c r="B16" t="str">
        <f>TEXT(B10,"0,000.00%")&amp;" cows"</f>
        <v>120,000.00% cows</v>
      </c>
      <c r="C16" t="e">
        <f ca="1">getformula(B16)</f>
        <v>#NAME?</v>
      </c>
    </row>
    <row r="18" spans="1:2" x14ac:dyDescent="0.2">
      <c r="A18" t="s">
        <v>133</v>
      </c>
    </row>
    <row r="20" spans="1:2" x14ac:dyDescent="0.2">
      <c r="A20" t="str">
        <f>LEFT(A18,2)</f>
        <v>15</v>
      </c>
      <c r="B20" t="e">
        <f ca="1">getformula(A20)</f>
        <v>#NAME?</v>
      </c>
    </row>
    <row r="21" spans="1:2" x14ac:dyDescent="0.2">
      <c r="A21" t="str">
        <f>MID(A18,4,14)</f>
        <v>pink flamingos</v>
      </c>
      <c r="B21" t="e">
        <f ca="1">getformula(A21)</f>
        <v>#NAME?</v>
      </c>
    </row>
    <row r="22" spans="1:2" x14ac:dyDescent="0.2">
      <c r="A22" t="str">
        <f>RIGHT(A18,3)</f>
        <v>zoo</v>
      </c>
      <c r="B22" t="e">
        <f ca="1">getformula(A22)</f>
        <v>#NAME?</v>
      </c>
    </row>
    <row r="23" spans="1:2" x14ac:dyDescent="0.2">
      <c r="A23">
        <f>LEN(A18)</f>
        <v>33</v>
      </c>
      <c r="B23" t="e">
        <f ca="1">getformula(A23)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23"/>
  <sheetViews>
    <sheetView workbookViewId="0">
      <selection activeCell="G11" sqref="G11"/>
    </sheetView>
  </sheetViews>
  <sheetFormatPr defaultRowHeight="12.75" x14ac:dyDescent="0.2"/>
  <cols>
    <col min="1" max="1" width="22.140625" bestFit="1" customWidth="1"/>
    <col min="3" max="3" width="22.140625" bestFit="1" customWidth="1"/>
    <col min="6" max="6" width="22.5703125" bestFit="1" customWidth="1"/>
    <col min="8" max="8" width="9.7109375" customWidth="1"/>
    <col min="9" max="9" width="10" customWidth="1"/>
  </cols>
  <sheetData>
    <row r="1" spans="1:9" ht="51.75" customHeight="1" x14ac:dyDescent="0.25">
      <c r="A1" s="85" t="s">
        <v>171</v>
      </c>
      <c r="B1" s="85"/>
      <c r="C1" s="85"/>
      <c r="D1" s="85"/>
    </row>
    <row r="2" spans="1:9" x14ac:dyDescent="0.2">
      <c r="A2" t="s">
        <v>134</v>
      </c>
      <c r="B2" t="s">
        <v>135</v>
      </c>
      <c r="C2" t="s">
        <v>136</v>
      </c>
      <c r="D2" t="s">
        <v>135</v>
      </c>
      <c r="F2" t="s">
        <v>98</v>
      </c>
      <c r="G2" t="s">
        <v>137</v>
      </c>
      <c r="H2" t="s">
        <v>138</v>
      </c>
    </row>
    <row r="3" spans="1:9" x14ac:dyDescent="0.2">
      <c r="A3" t="s">
        <v>139</v>
      </c>
      <c r="B3">
        <v>3.5</v>
      </c>
      <c r="C3" t="s">
        <v>140</v>
      </c>
      <c r="D3">
        <v>0.5</v>
      </c>
      <c r="F3" t="str">
        <f>LEFT(C3,2)&amp;MID(C3,4,3)</f>
        <v>01Aug</v>
      </c>
      <c r="G3" t="str">
        <f>MID(C3,LEN(C3)-4,2)</f>
        <v>TL</v>
      </c>
      <c r="H3" t="str">
        <f>MID(C3,LEN(C3)-1,1)</f>
        <v>E</v>
      </c>
    </row>
    <row r="4" spans="1:9" x14ac:dyDescent="0.2">
      <c r="A4" t="s">
        <v>141</v>
      </c>
      <c r="B4">
        <v>3.4</v>
      </c>
      <c r="C4" t="s">
        <v>142</v>
      </c>
      <c r="D4">
        <v>0.4</v>
      </c>
    </row>
    <row r="5" spans="1:9" x14ac:dyDescent="0.2">
      <c r="A5" t="s">
        <v>143</v>
      </c>
      <c r="B5">
        <v>3</v>
      </c>
      <c r="C5" t="s">
        <v>144</v>
      </c>
      <c r="D5">
        <v>0.4</v>
      </c>
    </row>
    <row r="6" spans="1:9" ht="13.5" thickBot="1" x14ac:dyDescent="0.25">
      <c r="A6" t="s">
        <v>145</v>
      </c>
      <c r="B6">
        <v>2.9</v>
      </c>
      <c r="C6" t="s">
        <v>146</v>
      </c>
      <c r="D6">
        <v>0.6</v>
      </c>
    </row>
    <row r="7" spans="1:9" ht="13.5" thickBot="1" x14ac:dyDescent="0.25">
      <c r="A7" t="s">
        <v>147</v>
      </c>
      <c r="B7">
        <v>3.4</v>
      </c>
      <c r="C7" t="s">
        <v>148</v>
      </c>
      <c r="D7">
        <v>0.5</v>
      </c>
      <c r="F7" s="71" t="e">
        <f ca="1">_xlfn.FORMULATEXT(F3)</f>
        <v>#NAME?</v>
      </c>
      <c r="H7" s="72" t="e">
        <f ca="1">_xlfn.FORMULATEXT(H3)</f>
        <v>#NAME?</v>
      </c>
      <c r="I7" s="73"/>
    </row>
    <row r="8" spans="1:9" ht="13.5" thickBot="1" x14ac:dyDescent="0.25">
      <c r="A8" t="s">
        <v>149</v>
      </c>
      <c r="B8">
        <v>0.45</v>
      </c>
      <c r="C8" t="s">
        <v>150</v>
      </c>
      <c r="D8">
        <v>2.85</v>
      </c>
    </row>
    <row r="9" spans="1:9" ht="13.5" thickBot="1" x14ac:dyDescent="0.25">
      <c r="A9" t="s">
        <v>151</v>
      </c>
      <c r="B9">
        <v>0.45</v>
      </c>
      <c r="C9" t="s">
        <v>152</v>
      </c>
      <c r="D9">
        <v>1.8</v>
      </c>
      <c r="F9" s="86" t="e">
        <f ca="1">_xlfn.FORMULATEXT(G3)</f>
        <v>#NAME?</v>
      </c>
      <c r="G9" s="87"/>
      <c r="H9" s="88"/>
    </row>
    <row r="10" spans="1:9" x14ac:dyDescent="0.2">
      <c r="A10" t="s">
        <v>153</v>
      </c>
      <c r="B10">
        <v>0.45</v>
      </c>
      <c r="C10" t="s">
        <v>154</v>
      </c>
      <c r="D10">
        <v>2.4</v>
      </c>
    </row>
    <row r="11" spans="1:9" x14ac:dyDescent="0.2">
      <c r="A11" t="s">
        <v>155</v>
      </c>
      <c r="B11">
        <v>1.1499999999999999</v>
      </c>
      <c r="C11" t="s">
        <v>156</v>
      </c>
      <c r="D11">
        <v>2.25</v>
      </c>
    </row>
    <row r="12" spans="1:9" x14ac:dyDescent="0.2">
      <c r="A12" t="s">
        <v>157</v>
      </c>
      <c r="B12">
        <v>0.4</v>
      </c>
      <c r="C12" t="s">
        <v>158</v>
      </c>
      <c r="D12">
        <v>2.7</v>
      </c>
    </row>
    <row r="13" spans="1:9" x14ac:dyDescent="0.2">
      <c r="A13" t="s">
        <v>159</v>
      </c>
      <c r="B13">
        <v>0.05</v>
      </c>
      <c r="C13" t="s">
        <v>160</v>
      </c>
      <c r="D13">
        <v>7.9</v>
      </c>
    </row>
    <row r="14" spans="1:9" x14ac:dyDescent="0.2">
      <c r="A14" t="s">
        <v>161</v>
      </c>
      <c r="B14">
        <v>0.05</v>
      </c>
      <c r="C14" t="s">
        <v>162</v>
      </c>
      <c r="D14">
        <v>6.3</v>
      </c>
    </row>
    <row r="15" spans="1:9" x14ac:dyDescent="0.2">
      <c r="A15" t="s">
        <v>163</v>
      </c>
      <c r="B15">
        <v>0.05</v>
      </c>
      <c r="C15" t="s">
        <v>164</v>
      </c>
      <c r="D15">
        <v>0</v>
      </c>
    </row>
    <row r="16" spans="1:9" x14ac:dyDescent="0.2">
      <c r="A16" t="s">
        <v>165</v>
      </c>
      <c r="B16">
        <v>0.2</v>
      </c>
      <c r="C16" t="s">
        <v>166</v>
      </c>
      <c r="D16">
        <v>7.5</v>
      </c>
    </row>
    <row r="17" spans="1:4" x14ac:dyDescent="0.2">
      <c r="A17" t="s">
        <v>167</v>
      </c>
      <c r="B17">
        <v>0.05</v>
      </c>
      <c r="C17" t="s">
        <v>168</v>
      </c>
      <c r="D17">
        <v>6.8</v>
      </c>
    </row>
    <row r="20" spans="1:4" x14ac:dyDescent="0.2">
      <c r="C20" t="s">
        <v>169</v>
      </c>
    </row>
    <row r="22" spans="1:4" x14ac:dyDescent="0.2">
      <c r="A22" t="s">
        <v>172</v>
      </c>
    </row>
    <row r="23" spans="1:4" x14ac:dyDescent="0.2">
      <c r="C23" t="s">
        <v>170</v>
      </c>
    </row>
  </sheetData>
  <mergeCells count="2">
    <mergeCell ref="A1:D1"/>
    <mergeCell ref="F9:H9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A2" sqref="A2"/>
    </sheetView>
  </sheetViews>
  <sheetFormatPr defaultRowHeight="12.75" x14ac:dyDescent="0.2"/>
  <cols>
    <col min="1" max="1" width="14.7109375" customWidth="1"/>
    <col min="3" max="3" width="21.42578125" bestFit="1" customWidth="1"/>
  </cols>
  <sheetData>
    <row r="1" spans="1:3" ht="17.45" customHeight="1" x14ac:dyDescent="0.2">
      <c r="A1" s="81" t="s">
        <v>249</v>
      </c>
      <c r="B1" s="82"/>
      <c r="C1" s="82"/>
    </row>
    <row r="2" spans="1:3" x14ac:dyDescent="0.2">
      <c r="A2" s="1" t="s">
        <v>173</v>
      </c>
      <c r="B2" s="1" t="s">
        <v>174</v>
      </c>
    </row>
    <row r="3" spans="1:3" x14ac:dyDescent="0.2">
      <c r="A3" s="5">
        <v>1</v>
      </c>
      <c r="B3" s="5">
        <v>100</v>
      </c>
    </row>
    <row r="4" spans="1:3" x14ac:dyDescent="0.2">
      <c r="A4" s="5">
        <v>2</v>
      </c>
      <c r="B4" s="5">
        <v>50</v>
      </c>
    </row>
    <row r="5" spans="1:3" x14ac:dyDescent="0.2">
      <c r="A5" s="5">
        <v>3</v>
      </c>
      <c r="B5" s="5">
        <v>75</v>
      </c>
    </row>
    <row r="6" spans="1:3" x14ac:dyDescent="0.2">
      <c r="A6" s="5">
        <v>4</v>
      </c>
      <c r="B6" s="5">
        <v>32</v>
      </c>
    </row>
    <row r="7" spans="1:3" x14ac:dyDescent="0.2">
      <c r="A7" s="5">
        <v>5</v>
      </c>
      <c r="B7" s="5">
        <v>98</v>
      </c>
    </row>
    <row r="8" spans="1:3" x14ac:dyDescent="0.2">
      <c r="A8" s="5">
        <v>6</v>
      </c>
      <c r="B8" s="5">
        <v>86</v>
      </c>
    </row>
    <row r="9" spans="1:3" x14ac:dyDescent="0.2">
      <c r="A9" s="5">
        <v>7</v>
      </c>
      <c r="B9" s="5">
        <v>72</v>
      </c>
    </row>
    <row r="10" spans="1:3" x14ac:dyDescent="0.2">
      <c r="A10" s="5">
        <v>8</v>
      </c>
      <c r="B10" s="5">
        <v>63</v>
      </c>
    </row>
    <row r="11" spans="1:3" x14ac:dyDescent="0.2">
      <c r="A11" s="5">
        <v>9</v>
      </c>
      <c r="B11" s="5">
        <v>41</v>
      </c>
    </row>
    <row r="12" spans="1:3" x14ac:dyDescent="0.2">
      <c r="A12" s="5">
        <v>10</v>
      </c>
      <c r="B12" s="5">
        <v>88</v>
      </c>
    </row>
    <row r="13" spans="1:3" x14ac:dyDescent="0.2">
      <c r="A13" s="5">
        <v>11</v>
      </c>
      <c r="B13" s="5">
        <v>92</v>
      </c>
    </row>
    <row r="14" spans="1:3" x14ac:dyDescent="0.2">
      <c r="A14" s="5"/>
      <c r="B14" s="5"/>
    </row>
    <row r="15" spans="1:3" x14ac:dyDescent="0.2">
      <c r="A15" t="s">
        <v>175</v>
      </c>
      <c r="B15" s="28">
        <f>AVERAGE(B3:B13)</f>
        <v>72.454545454545453</v>
      </c>
      <c r="C15" t="e">
        <f ca="1">getformula(B15)</f>
        <v>#NAME?</v>
      </c>
    </row>
    <row r="16" spans="1:3" x14ac:dyDescent="0.2">
      <c r="A16" t="s">
        <v>176</v>
      </c>
      <c r="B16">
        <f>MEDIAN(B3:B13)</f>
        <v>75</v>
      </c>
      <c r="C16" t="e">
        <f ca="1">getformula(B16)</f>
        <v>#NAME?</v>
      </c>
    </row>
    <row r="17" spans="1:3" x14ac:dyDescent="0.2">
      <c r="A17" t="s">
        <v>177</v>
      </c>
      <c r="B17">
        <f>LARGE(B3:B13,3)</f>
        <v>92</v>
      </c>
      <c r="C17" t="e">
        <f ca="1">getformula(B17)</f>
        <v>#NAME?</v>
      </c>
    </row>
    <row r="18" spans="1:3" x14ac:dyDescent="0.2">
      <c r="A18" t="s">
        <v>178</v>
      </c>
      <c r="B18">
        <f>RANK(B9,B3:B13)</f>
        <v>7</v>
      </c>
      <c r="C18" t="e">
        <f ca="1">getformula(B18)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sqref="A1:C1"/>
    </sheetView>
  </sheetViews>
  <sheetFormatPr defaultRowHeight="12.75" x14ac:dyDescent="0.2"/>
  <cols>
    <col min="3" max="3" width="24.7109375" bestFit="1" customWidth="1"/>
  </cols>
  <sheetData>
    <row r="1" spans="1:3" ht="18" x14ac:dyDescent="0.25">
      <c r="A1" s="79" t="s">
        <v>179</v>
      </c>
      <c r="B1" s="79"/>
      <c r="C1" s="79"/>
    </row>
    <row r="2" spans="1:3" x14ac:dyDescent="0.2">
      <c r="A2" s="6" t="s">
        <v>185</v>
      </c>
    </row>
    <row r="3" spans="1:3" x14ac:dyDescent="0.2">
      <c r="A3" s="5">
        <v>1</v>
      </c>
    </row>
    <row r="4" spans="1:3" x14ac:dyDescent="0.2">
      <c r="A4" s="5">
        <v>2</v>
      </c>
    </row>
    <row r="5" spans="1:3" x14ac:dyDescent="0.2">
      <c r="A5" s="5">
        <v>3</v>
      </c>
    </row>
    <row r="6" spans="1:3" x14ac:dyDescent="0.2">
      <c r="A6" s="5">
        <v>4</v>
      </c>
    </row>
    <row r="7" spans="1:3" x14ac:dyDescent="0.2">
      <c r="A7" s="5" t="s">
        <v>180</v>
      </c>
    </row>
    <row r="8" spans="1:3" x14ac:dyDescent="0.2">
      <c r="A8" s="5" t="s">
        <v>181</v>
      </c>
    </row>
    <row r="9" spans="1:3" x14ac:dyDescent="0.2">
      <c r="A9" s="5" t="s">
        <v>182</v>
      </c>
    </row>
    <row r="10" spans="1:3" x14ac:dyDescent="0.2">
      <c r="A10" s="5" t="s">
        <v>183</v>
      </c>
    </row>
    <row r="11" spans="1:3" x14ac:dyDescent="0.2">
      <c r="A11" s="5" t="s">
        <v>184</v>
      </c>
    </row>
    <row r="13" spans="1:3" x14ac:dyDescent="0.2">
      <c r="A13" t="s">
        <v>186</v>
      </c>
      <c r="B13">
        <f>COUNT(A3:A11)</f>
        <v>4</v>
      </c>
      <c r="C13" t="e">
        <f ca="1">getformula(B13)</f>
        <v>#NAME?</v>
      </c>
    </row>
    <row r="14" spans="1:3" x14ac:dyDescent="0.2">
      <c r="A14" t="s">
        <v>187</v>
      </c>
      <c r="B14">
        <f>COUNTA(A3:A11)</f>
        <v>9</v>
      </c>
      <c r="C14" t="e">
        <f ca="1">getformula(B14)</f>
        <v>#NAME?</v>
      </c>
    </row>
    <row r="15" spans="1:3" x14ac:dyDescent="0.2">
      <c r="A15" t="s">
        <v>188</v>
      </c>
      <c r="B15">
        <f>COUNTIF(A3:A11,"&gt;2")</f>
        <v>2</v>
      </c>
      <c r="C15" t="e">
        <f ca="1">getformula(B15)</f>
        <v>#NAME?</v>
      </c>
    </row>
  </sheetData>
  <mergeCells count="1">
    <mergeCell ref="A1:C1"/>
  </mergeCells>
  <phoneticPr fontId="3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sqref="A1:H1"/>
    </sheetView>
  </sheetViews>
  <sheetFormatPr defaultColWidth="9.140625" defaultRowHeight="12.75" x14ac:dyDescent="0.2"/>
  <cols>
    <col min="1" max="16384" width="9.140625" style="64"/>
  </cols>
  <sheetData>
    <row r="1" spans="1:8" ht="18" x14ac:dyDescent="0.25">
      <c r="A1" s="89" t="s">
        <v>208</v>
      </c>
      <c r="B1" s="89"/>
      <c r="C1" s="89"/>
      <c r="D1" s="89"/>
      <c r="E1" s="89"/>
      <c r="F1" s="89"/>
      <c r="G1" s="89"/>
      <c r="H1" s="89"/>
    </row>
    <row r="2" spans="1:8" x14ac:dyDescent="0.2">
      <c r="A2" s="64">
        <v>34</v>
      </c>
      <c r="B2" s="64">
        <v>43</v>
      </c>
      <c r="C2" s="64">
        <v>90</v>
      </c>
      <c r="D2" s="64">
        <v>19</v>
      </c>
      <c r="E2" s="64">
        <v>60</v>
      </c>
      <c r="F2" s="64">
        <v>16</v>
      </c>
      <c r="G2" s="64">
        <v>83</v>
      </c>
      <c r="H2" s="64">
        <v>10</v>
      </c>
    </row>
    <row r="3" spans="1:8" x14ac:dyDescent="0.2">
      <c r="A3" s="64">
        <v>85</v>
      </c>
      <c r="B3" s="64">
        <v>52</v>
      </c>
      <c r="C3" s="64">
        <v>89</v>
      </c>
      <c r="D3" s="64">
        <v>56</v>
      </c>
      <c r="E3" s="64">
        <v>9</v>
      </c>
      <c r="F3" s="64">
        <v>21</v>
      </c>
      <c r="G3" s="64">
        <v>17</v>
      </c>
      <c r="H3" s="64">
        <v>10</v>
      </c>
    </row>
    <row r="4" spans="1:8" x14ac:dyDescent="0.2">
      <c r="A4" s="64">
        <v>66</v>
      </c>
      <c r="B4" s="64">
        <v>6</v>
      </c>
      <c r="C4" s="64">
        <v>48</v>
      </c>
      <c r="D4" s="64">
        <v>18</v>
      </c>
      <c r="E4" s="64">
        <v>19</v>
      </c>
      <c r="F4" s="64">
        <v>20</v>
      </c>
      <c r="G4" s="64">
        <v>36</v>
      </c>
      <c r="H4" s="64">
        <v>64</v>
      </c>
    </row>
    <row r="5" spans="1:8" x14ac:dyDescent="0.2">
      <c r="A5" s="64">
        <v>20</v>
      </c>
      <c r="B5" s="64">
        <v>96</v>
      </c>
      <c r="C5" s="64">
        <v>70</v>
      </c>
      <c r="D5" s="64">
        <v>18</v>
      </c>
      <c r="E5" s="64">
        <v>16</v>
      </c>
      <c r="F5" s="64">
        <v>73</v>
      </c>
      <c r="G5" s="64">
        <v>55</v>
      </c>
      <c r="H5" s="64">
        <v>9</v>
      </c>
    </row>
    <row r="6" spans="1:8" x14ac:dyDescent="0.2">
      <c r="A6" s="64">
        <v>38</v>
      </c>
      <c r="B6" s="64">
        <v>10</v>
      </c>
      <c r="C6" s="64">
        <v>68</v>
      </c>
      <c r="D6" s="64">
        <v>52</v>
      </c>
      <c r="E6" s="64">
        <v>63</v>
      </c>
      <c r="F6" s="65">
        <v>97</v>
      </c>
      <c r="G6" s="64">
        <v>62</v>
      </c>
      <c r="H6" s="64">
        <v>40</v>
      </c>
    </row>
    <row r="7" spans="1:8" x14ac:dyDescent="0.2">
      <c r="A7" s="64">
        <v>38</v>
      </c>
      <c r="B7" s="64">
        <v>19</v>
      </c>
      <c r="C7" s="64">
        <v>90</v>
      </c>
      <c r="D7" s="64">
        <v>85</v>
      </c>
      <c r="E7" s="64">
        <v>46</v>
      </c>
      <c r="F7" s="64">
        <v>62</v>
      </c>
      <c r="G7" s="64">
        <v>38</v>
      </c>
      <c r="H7" s="64">
        <v>11</v>
      </c>
    </row>
    <row r="8" spans="1:8" x14ac:dyDescent="0.2">
      <c r="A8" s="64">
        <v>25</v>
      </c>
      <c r="B8" s="64">
        <v>35</v>
      </c>
      <c r="C8" s="64">
        <v>58</v>
      </c>
      <c r="D8" s="64">
        <v>55</v>
      </c>
      <c r="E8" s="64">
        <v>91</v>
      </c>
      <c r="F8" s="64">
        <v>25</v>
      </c>
      <c r="G8" s="64">
        <v>77</v>
      </c>
      <c r="H8" s="64">
        <v>79</v>
      </c>
    </row>
    <row r="9" spans="1:8" x14ac:dyDescent="0.2">
      <c r="A9" s="64">
        <v>73</v>
      </c>
      <c r="B9" s="64">
        <v>59</v>
      </c>
      <c r="C9" s="64">
        <v>82</v>
      </c>
      <c r="D9" s="64">
        <v>49</v>
      </c>
      <c r="E9" s="64">
        <v>55</v>
      </c>
      <c r="F9" s="64">
        <v>10</v>
      </c>
      <c r="G9" s="64">
        <v>67</v>
      </c>
      <c r="H9" s="64">
        <v>88</v>
      </c>
    </row>
    <row r="11" spans="1:8" x14ac:dyDescent="0.2">
      <c r="A11" s="64" t="s">
        <v>209</v>
      </c>
      <c r="B11" s="64">
        <v>5</v>
      </c>
    </row>
    <row r="12" spans="1:8" x14ac:dyDescent="0.2">
      <c r="A12" s="64" t="s">
        <v>210</v>
      </c>
      <c r="B12" s="64">
        <v>6</v>
      </c>
    </row>
    <row r="13" spans="1:8" x14ac:dyDescent="0.2">
      <c r="A13" s="65" t="s">
        <v>211</v>
      </c>
      <c r="B13" s="65">
        <f>INDEX(A2:H9,B11,B12)</f>
        <v>97</v>
      </c>
      <c r="C13" s="64" t="e">
        <f ca="1">getformula(B13)</f>
        <v>#NAME?</v>
      </c>
    </row>
  </sheetData>
  <mergeCells count="1">
    <mergeCell ref="A1:H1"/>
  </mergeCells>
  <printOptions headings="1" gridLines="1"/>
  <pageMargins left="0.7" right="0.7" top="0.75" bottom="0.75" header="0.3" footer="0.3"/>
  <pageSetup orientation="portrait" verticalDpi="4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2" workbookViewId="0">
      <selection activeCell="H16" sqref="H16"/>
    </sheetView>
  </sheetViews>
  <sheetFormatPr defaultRowHeight="12.75" x14ac:dyDescent="0.2"/>
  <cols>
    <col min="1" max="1" width="11.5703125" customWidth="1"/>
    <col min="3" max="3" width="3.7109375" customWidth="1"/>
    <col min="4" max="4" width="26" customWidth="1"/>
    <col min="5" max="5" width="9.28515625" bestFit="1" customWidth="1"/>
    <col min="6" max="6" width="46.42578125" bestFit="1" customWidth="1"/>
  </cols>
  <sheetData>
    <row r="1" spans="1:7" ht="18" x14ac:dyDescent="0.25">
      <c r="A1" s="79" t="s">
        <v>217</v>
      </c>
      <c r="B1" s="79"/>
      <c r="C1" s="79"/>
      <c r="D1" s="79"/>
      <c r="E1" s="79"/>
      <c r="F1" s="79"/>
    </row>
    <row r="2" spans="1:7" ht="45" x14ac:dyDescent="0.25">
      <c r="A2" s="69" t="s">
        <v>98</v>
      </c>
      <c r="B2" s="70" t="s">
        <v>218</v>
      </c>
    </row>
    <row r="3" spans="1:7" x14ac:dyDescent="0.2">
      <c r="A3" s="74">
        <v>39329</v>
      </c>
      <c r="B3" s="75">
        <v>43.55</v>
      </c>
    </row>
    <row r="4" spans="1:7" ht="12.75" customHeight="1" x14ac:dyDescent="0.2">
      <c r="A4" s="74">
        <v>39356</v>
      </c>
      <c r="B4" s="75">
        <v>39.1</v>
      </c>
      <c r="D4" s="62" t="s">
        <v>207</v>
      </c>
      <c r="E4" s="60">
        <f>MIN(B3:B27)</f>
        <v>1.5</v>
      </c>
      <c r="F4" t="e">
        <f ca="1">getformula(E4)</f>
        <v>#NAME?</v>
      </c>
    </row>
    <row r="5" spans="1:7" x14ac:dyDescent="0.2">
      <c r="A5" s="74">
        <v>39387</v>
      </c>
      <c r="B5" s="75">
        <v>31.48</v>
      </c>
      <c r="D5" s="59" t="s">
        <v>203</v>
      </c>
      <c r="E5" s="28">
        <f>MAX(B3:B27)</f>
        <v>43.55</v>
      </c>
      <c r="F5" t="e">
        <f ca="1">getformula(E5)</f>
        <v>#NAME?</v>
      </c>
    </row>
    <row r="6" spans="1:7" x14ac:dyDescent="0.2">
      <c r="A6" s="74">
        <v>39419</v>
      </c>
      <c r="B6" s="75">
        <v>27.83</v>
      </c>
    </row>
    <row r="7" spans="1:7" x14ac:dyDescent="0.2">
      <c r="A7" s="74">
        <v>39449</v>
      </c>
      <c r="B7" s="75">
        <v>26.94</v>
      </c>
      <c r="D7" s="58" t="s">
        <v>219</v>
      </c>
      <c r="E7" s="58">
        <f>MATCH(E4,B3:B27,0)</f>
        <v>18</v>
      </c>
      <c r="F7" t="e">
        <f ca="1">getformula(E7)</f>
        <v>#NAME?</v>
      </c>
    </row>
    <row r="8" spans="1:7" x14ac:dyDescent="0.2">
      <c r="A8" s="74">
        <v>39479</v>
      </c>
      <c r="B8" s="75">
        <v>22.67</v>
      </c>
      <c r="D8" s="58" t="s">
        <v>219</v>
      </c>
      <c r="E8" s="58">
        <f>MATCH(E5,B3:B27,0)</f>
        <v>1</v>
      </c>
      <c r="F8" t="e">
        <f ca="1">getformula(E8)</f>
        <v>#NAME?</v>
      </c>
    </row>
    <row r="9" spans="1:7" x14ac:dyDescent="0.2">
      <c r="A9" s="54">
        <v>39510</v>
      </c>
      <c r="B9" s="28">
        <v>20.48</v>
      </c>
    </row>
    <row r="10" spans="1:7" ht="12.75" customHeight="1" x14ac:dyDescent="0.2">
      <c r="A10" s="54">
        <v>39539</v>
      </c>
      <c r="B10" s="28">
        <v>24.16</v>
      </c>
      <c r="D10" t="s">
        <v>220</v>
      </c>
      <c r="E10" s="74">
        <f>INDEX(A3:A27,E7)</f>
        <v>39846</v>
      </c>
      <c r="F10" t="e">
        <f ca="1">getformula(E10)</f>
        <v>#NAME?</v>
      </c>
    </row>
    <row r="11" spans="1:7" x14ac:dyDescent="0.2">
      <c r="A11" s="54">
        <v>39569</v>
      </c>
      <c r="B11" s="28">
        <v>21.2</v>
      </c>
      <c r="E11" s="74">
        <f>INDEX(A3:A27,MATCH(E4,B3:B27,0))</f>
        <v>39846</v>
      </c>
      <c r="F11" t="e">
        <f ca="1">getformula(E11)</f>
        <v>#NAME?</v>
      </c>
    </row>
    <row r="12" spans="1:7" x14ac:dyDescent="0.2">
      <c r="A12" s="54">
        <v>39601</v>
      </c>
      <c r="B12" s="28">
        <v>16.23</v>
      </c>
    </row>
    <row r="13" spans="1:7" x14ac:dyDescent="0.2">
      <c r="A13" s="54">
        <v>39630</v>
      </c>
      <c r="B13" s="28">
        <v>18.41</v>
      </c>
      <c r="D13" t="s">
        <v>220</v>
      </c>
      <c r="E13" s="74">
        <f>INDEX(A3:A27,E8)</f>
        <v>39329</v>
      </c>
      <c r="F13" t="e">
        <f ca="1">getformula(E13)</f>
        <v>#NAME?</v>
      </c>
    </row>
    <row r="14" spans="1:7" ht="12.75" customHeight="1" x14ac:dyDescent="0.2">
      <c r="A14" s="54">
        <v>39661</v>
      </c>
      <c r="B14" s="28">
        <v>18.71</v>
      </c>
    </row>
    <row r="15" spans="1:7" x14ac:dyDescent="0.2">
      <c r="A15" s="54">
        <v>39693</v>
      </c>
      <c r="B15" s="28">
        <v>20.21</v>
      </c>
      <c r="G15" s="57"/>
    </row>
    <row r="16" spans="1:7" x14ac:dyDescent="0.2">
      <c r="A16" s="54">
        <v>39722</v>
      </c>
      <c r="B16" s="28">
        <v>13.62</v>
      </c>
      <c r="G16" s="57"/>
    </row>
    <row r="17" spans="1:9" x14ac:dyDescent="0.2">
      <c r="A17" s="54">
        <v>39755</v>
      </c>
      <c r="B17" s="28">
        <v>8.27</v>
      </c>
    </row>
    <row r="18" spans="1:9" x14ac:dyDescent="0.2">
      <c r="A18" s="54">
        <v>39783</v>
      </c>
      <c r="B18" s="28">
        <v>6.69</v>
      </c>
    </row>
    <row r="19" spans="1:9" x14ac:dyDescent="0.2">
      <c r="A19" s="54">
        <v>39815</v>
      </c>
      <c r="B19" s="28">
        <v>3.55</v>
      </c>
    </row>
    <row r="20" spans="1:9" x14ac:dyDescent="0.2">
      <c r="A20" s="54">
        <v>39846</v>
      </c>
      <c r="B20" s="28">
        <v>1.5</v>
      </c>
    </row>
    <row r="21" spans="1:9" x14ac:dyDescent="0.2">
      <c r="A21" s="54">
        <v>39874</v>
      </c>
      <c r="B21" s="28">
        <v>2.5299999999999998</v>
      </c>
      <c r="D21" s="90" t="s">
        <v>221</v>
      </c>
      <c r="E21" s="91"/>
      <c r="F21" s="91"/>
    </row>
    <row r="22" spans="1:9" x14ac:dyDescent="0.2">
      <c r="A22" s="54">
        <v>39904</v>
      </c>
      <c r="B22" s="28">
        <v>3.05</v>
      </c>
      <c r="D22" s="91"/>
      <c r="E22" s="91"/>
      <c r="F22" s="91"/>
    </row>
    <row r="23" spans="1:9" x14ac:dyDescent="0.2">
      <c r="A23" s="54">
        <v>39934</v>
      </c>
      <c r="B23" s="28">
        <v>3.72</v>
      </c>
      <c r="D23" s="91"/>
      <c r="E23" s="91"/>
      <c r="F23" s="91"/>
    </row>
    <row r="24" spans="1:9" x14ac:dyDescent="0.2">
      <c r="A24" s="54">
        <v>39965</v>
      </c>
      <c r="B24" s="28">
        <v>2.97</v>
      </c>
      <c r="D24" s="91"/>
      <c r="E24" s="91"/>
      <c r="F24" s="91"/>
    </row>
    <row r="25" spans="1:9" x14ac:dyDescent="0.2">
      <c r="A25" s="54">
        <v>39995</v>
      </c>
      <c r="B25" s="28">
        <v>3.17</v>
      </c>
      <c r="D25" s="91"/>
      <c r="E25" s="91"/>
      <c r="F25" s="91"/>
    </row>
    <row r="26" spans="1:9" ht="12.75" customHeight="1" x14ac:dyDescent="0.2">
      <c r="A26" s="54">
        <v>40028</v>
      </c>
      <c r="B26" s="28">
        <v>5</v>
      </c>
      <c r="D26" s="91"/>
      <c r="E26" s="91"/>
      <c r="F26" s="91"/>
    </row>
    <row r="27" spans="1:9" ht="12.75" customHeight="1" x14ac:dyDescent="0.2">
      <c r="A27" s="54">
        <v>40057</v>
      </c>
      <c r="B27" s="28">
        <v>4.57</v>
      </c>
      <c r="D27" s="91"/>
      <c r="E27" s="91"/>
      <c r="F27" s="91"/>
      <c r="I27" s="38"/>
    </row>
    <row r="28" spans="1:9" ht="12.75" customHeight="1" x14ac:dyDescent="0.2">
      <c r="A28" s="44"/>
      <c r="I28" s="38"/>
    </row>
    <row r="29" spans="1:9" ht="12.75" customHeight="1" x14ac:dyDescent="0.2">
      <c r="A29" s="54"/>
      <c r="B29" s="55"/>
    </row>
    <row r="30" spans="1:9" x14ac:dyDescent="0.2">
      <c r="A30" s="54"/>
      <c r="B30" s="55"/>
    </row>
  </sheetData>
  <sortState ref="A4:B28">
    <sortCondition ref="A4:A28"/>
  </sortState>
  <mergeCells count="2">
    <mergeCell ref="A1:F1"/>
    <mergeCell ref="D21:F27"/>
  </mergeCells>
  <printOptions headings="1" gridLines="1"/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Index</vt:lpstr>
      <vt:lpstr>Page 701</vt:lpstr>
      <vt:lpstr>Page 702</vt:lpstr>
      <vt:lpstr>Page 703</vt:lpstr>
      <vt:lpstr>Page 704</vt:lpstr>
      <vt:lpstr>Page 705</vt:lpstr>
      <vt:lpstr>Page 706</vt:lpstr>
      <vt:lpstr>Page 707</vt:lpstr>
      <vt:lpstr>Page 707 bottom</vt:lpstr>
      <vt:lpstr>Page 708</vt:lpstr>
      <vt:lpstr>Page 709</vt:lpstr>
      <vt:lpstr>Page 711</vt:lpstr>
      <vt:lpstr>Page 711-712</vt:lpstr>
      <vt:lpstr>Page 713</vt:lpstr>
      <vt:lpstr>Page 714</vt:lpstr>
      <vt:lpstr>Pages 714-716</vt:lpstr>
      <vt:lpstr>Page 716</vt:lpstr>
      <vt:lpstr>Page 717</vt:lpstr>
      <vt:lpstr>Pages 717-718</vt:lpstr>
      <vt:lpstr>Page 719</vt:lpstr>
      <vt:lpstr>Page 719 bottom</vt:lpstr>
      <vt:lpstr>Pages 720-721</vt:lpstr>
      <vt:lpstr>Page 722</vt:lpstr>
      <vt:lpstr>Pages 723-724</vt:lpstr>
      <vt:lpstr>Page 725</vt:lpstr>
      <vt:lpstr>Page 727</vt:lpstr>
      <vt:lpstr>Page 727 bottom</vt:lpstr>
      <vt:lpstr>Page 750</vt:lpstr>
    </vt:vector>
  </TitlesOfParts>
  <Company>Tel-Aviv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2002-12-20T08:41:19Z</dcterms:created>
  <dcterms:modified xsi:type="dcterms:W3CDTF">2017-08-11T17:42:01Z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Chapter23 - functions (1).xlsm</vt:lpwstr>
  </property>
</Properties>
</file>