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harts/chart1.xml" ContentType="application/vnd.openxmlformats-officedocument.drawingml.chart+xml"/>
  <Override PartName="/xl/drawings/drawing7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21656B06-1B9B-AA78-C99D-37B55691406E}"/>
  <workbookPr codeName="ThisWorkbook"/>
  <bookViews>
    <workbookView xWindow="240" yWindow="120" windowWidth="14220" windowHeight="8835"/>
  </bookViews>
  <sheets>
    <sheet name="Index" sheetId="21" r:id="rId1"/>
    <sheet name="Page 511 - figure" sheetId="13" r:id="rId2"/>
    <sheet name="Page 511" sheetId="14" r:id="rId3"/>
    <sheet name="Page 512" sheetId="20" r:id="rId4"/>
    <sheet name="Page 514" sheetId="9" r:id="rId5"/>
    <sheet name="Page 515" sheetId="1" r:id="rId6"/>
    <sheet name="Page 516" sheetId="3" r:id="rId7"/>
    <sheet name="Page 518" sheetId="15" r:id="rId8"/>
    <sheet name="Page 520-521" sheetId="16" r:id="rId9"/>
    <sheet name="Page 521 bottom" sheetId="19" r:id="rId10"/>
    <sheet name="Page 522" sheetId="10" r:id="rId11"/>
    <sheet name="Page 524" sheetId="11" r:id="rId12"/>
    <sheet name="Page 525" sheetId="12" r:id="rId13"/>
    <sheet name="Page 528" sheetId="17" r:id="rId14"/>
    <sheet name="Page 529-531" sheetId="5" r:id="rId15"/>
    <sheet name="Page 532" sheetId="8" r:id="rId16"/>
    <sheet name="Page 533" sheetId="6" r:id="rId17"/>
    <sheet name="Page 535" sheetId="18" r:id="rId18"/>
  </sheets>
  <definedNames>
    <definedName name="solver_adj" localSheetId="15" hidden="1">'Page 532'!$B$2</definedName>
    <definedName name="solver_cvg" localSheetId="15" hidden="1">0.0001</definedName>
    <definedName name="solver_drv" localSheetId="15" hidden="1">1</definedName>
    <definedName name="solver_est" localSheetId="15" hidden="1">1</definedName>
    <definedName name="solver_itr" localSheetId="15" hidden="1">100</definedName>
    <definedName name="solver_lin" localSheetId="15" hidden="1">2</definedName>
    <definedName name="solver_neg" localSheetId="15" hidden="1">2</definedName>
    <definedName name="solver_num" localSheetId="15" hidden="1">0</definedName>
    <definedName name="solver_nwt" localSheetId="15" hidden="1">1</definedName>
    <definedName name="solver_opt" localSheetId="15" hidden="1">'Page 532'!$B$8</definedName>
    <definedName name="solver_pre" localSheetId="15" hidden="1">0.000001</definedName>
    <definedName name="solver_scl" localSheetId="15" hidden="1">2</definedName>
    <definedName name="solver_sho" localSheetId="15" hidden="1">2</definedName>
    <definedName name="solver_tim" localSheetId="15" hidden="1">100</definedName>
    <definedName name="solver_tol" localSheetId="15" hidden="1">0.05</definedName>
    <definedName name="solver_typ" localSheetId="15" hidden="1">3</definedName>
    <definedName name="solver_val" localSheetId="15" hidden="1">0.055</definedName>
  </definedNames>
  <calcPr calcId="144525" concurrentCalc="0"/>
</workbook>
</file>

<file path=xl/calcChain.xml><?xml version="1.0" encoding="utf-8"?>
<calcChain xmlns="http://schemas.openxmlformats.org/spreadsheetml/2006/main">
  <c r="E56" i="17" l="1"/>
  <c r="D54" i="17"/>
  <c r="D50" i="17"/>
  <c r="D56" i="17"/>
  <c r="B56" i="17"/>
  <c r="D53" i="17"/>
  <c r="D52" i="17"/>
  <c r="D51" i="17"/>
  <c r="C46" i="17"/>
  <c r="C45" i="17"/>
  <c r="C44" i="17"/>
  <c r="A38" i="17"/>
  <c r="A37" i="17"/>
  <c r="D35" i="17"/>
  <c r="D36" i="17"/>
  <c r="D37" i="17"/>
  <c r="D38" i="17"/>
  <c r="D39" i="17"/>
  <c r="D33" i="17"/>
  <c r="D31" i="17"/>
  <c r="D27" i="17"/>
  <c r="D28" i="17"/>
  <c r="D29" i="17"/>
  <c r="D32" i="17"/>
  <c r="D40" i="17"/>
  <c r="C35" i="17"/>
  <c r="C36" i="17"/>
  <c r="C37" i="17"/>
  <c r="C38" i="17"/>
  <c r="C39" i="17"/>
  <c r="C33" i="17"/>
  <c r="C31" i="17"/>
  <c r="C27" i="17"/>
  <c r="C28" i="17"/>
  <c r="C29" i="17"/>
  <c r="C32" i="17"/>
  <c r="C40" i="17"/>
  <c r="B35" i="17"/>
  <c r="B36" i="17"/>
  <c r="B37" i="17"/>
  <c r="B38" i="17"/>
  <c r="B39" i="17"/>
  <c r="B33" i="17"/>
  <c r="B31" i="17"/>
  <c r="B27" i="17"/>
  <c r="B28" i="17"/>
  <c r="B29" i="17"/>
  <c r="B32" i="17"/>
  <c r="B40" i="17"/>
  <c r="A33" i="17"/>
  <c r="A32" i="17"/>
  <c r="A28" i="17"/>
  <c r="A27" i="17"/>
  <c r="D23" i="17"/>
  <c r="D21" i="17"/>
  <c r="D15" i="17"/>
  <c r="D16" i="17"/>
  <c r="D17" i="17"/>
  <c r="D18" i="17"/>
  <c r="D19" i="17"/>
  <c r="D24" i="17"/>
  <c r="C23" i="17"/>
  <c r="C21" i="17"/>
  <c r="C15" i="17"/>
  <c r="C16" i="17"/>
  <c r="C17" i="17"/>
  <c r="C18" i="17"/>
  <c r="C19" i="17"/>
  <c r="C24" i="17"/>
  <c r="B23" i="17"/>
  <c r="B21" i="17"/>
  <c r="B15" i="17"/>
  <c r="B16" i="17"/>
  <c r="B17" i="17"/>
  <c r="B18" i="17"/>
  <c r="B19" i="17"/>
  <c r="B24" i="17"/>
  <c r="D14" i="17"/>
  <c r="C14" i="17"/>
  <c r="B14" i="17"/>
  <c r="D4" i="17"/>
  <c r="D5" i="17"/>
  <c r="D6" i="17"/>
  <c r="D7" i="17"/>
  <c r="D8" i="17"/>
  <c r="D9" i="17"/>
  <c r="D10" i="17"/>
  <c r="D11" i="17"/>
  <c r="C4" i="17"/>
  <c r="C5" i="17"/>
  <c r="C6" i="17"/>
  <c r="C7" i="17"/>
  <c r="C8" i="17"/>
  <c r="C9" i="17"/>
  <c r="C10" i="17"/>
  <c r="C11" i="17"/>
  <c r="B4" i="17"/>
  <c r="B5" i="17"/>
  <c r="B6" i="17"/>
  <c r="B7" i="17"/>
  <c r="B8" i="17"/>
  <c r="B9" i="17"/>
  <c r="B10" i="17"/>
  <c r="B11" i="17"/>
  <c r="D3" i="17"/>
  <c r="C3" i="17"/>
  <c r="B3" i="17"/>
  <c r="B19" i="21"/>
  <c r="B18" i="21"/>
  <c r="B17" i="21"/>
  <c r="B16" i="21"/>
  <c r="B15" i="21"/>
  <c r="B14" i="21"/>
  <c r="B13" i="21"/>
  <c r="B12" i="21"/>
  <c r="B11" i="21"/>
  <c r="B10" i="21"/>
  <c r="B9" i="21"/>
  <c r="B8" i="21"/>
  <c r="B7" i="21"/>
  <c r="B6" i="21"/>
  <c r="B5" i="21"/>
  <c r="B4" i="21"/>
  <c r="B3" i="21"/>
  <c r="D43" i="18"/>
  <c r="D34" i="18"/>
  <c r="D35" i="18"/>
  <c r="D36" i="18"/>
  <c r="D37" i="18"/>
  <c r="D38" i="18"/>
  <c r="D39" i="18"/>
  <c r="D40" i="18"/>
  <c r="D41" i="18"/>
  <c r="D42" i="18"/>
  <c r="D45" i="18"/>
  <c r="C26" i="18"/>
  <c r="C3" i="5"/>
  <c r="C3" i="18"/>
  <c r="C25" i="18"/>
  <c r="C2" i="5"/>
  <c r="C2" i="18"/>
  <c r="C21" i="18"/>
  <c r="C20" i="18"/>
  <c r="C16" i="18"/>
  <c r="C11" i="18"/>
  <c r="B11" i="18"/>
  <c r="A11" i="18"/>
  <c r="C10" i="18"/>
  <c r="B10" i="18"/>
  <c r="A10" i="18"/>
  <c r="C9" i="18"/>
  <c r="B9" i="18"/>
  <c r="C8" i="18"/>
  <c r="B8" i="18"/>
  <c r="C7" i="18"/>
  <c r="B7" i="18"/>
  <c r="C6" i="18"/>
  <c r="B6" i="18"/>
  <c r="A4" i="18"/>
  <c r="A3" i="18"/>
  <c r="C4" i="18"/>
  <c r="B6" i="8"/>
  <c r="C26" i="5"/>
  <c r="C25" i="5"/>
  <c r="B7" i="8"/>
  <c r="C24" i="5"/>
  <c r="C21" i="5"/>
  <c r="C20" i="5"/>
  <c r="C16" i="5"/>
  <c r="C4" i="5"/>
  <c r="B7" i="5"/>
  <c r="B8" i="5"/>
  <c r="B9" i="5"/>
  <c r="B10" i="5"/>
  <c r="B11" i="5"/>
  <c r="B12" i="5"/>
  <c r="C7" i="5"/>
  <c r="C8" i="5"/>
  <c r="C9" i="5"/>
  <c r="C10" i="5"/>
  <c r="C11" i="5"/>
  <c r="C12" i="5"/>
  <c r="A11" i="5"/>
  <c r="A10" i="5"/>
  <c r="C6" i="5"/>
  <c r="B6" i="5"/>
  <c r="C22" i="18"/>
  <c r="B12" i="18"/>
  <c r="C12" i="18"/>
  <c r="C14" i="18"/>
  <c r="C17" i="18"/>
  <c r="C18" i="18"/>
  <c r="C22" i="12"/>
  <c r="C10" i="12"/>
  <c r="C3" i="12"/>
  <c r="C11" i="12"/>
  <c r="C13" i="12"/>
  <c r="C15" i="12"/>
  <c r="C19" i="12"/>
  <c r="C23" i="12"/>
  <c r="B22" i="12"/>
  <c r="B15" i="12"/>
  <c r="B13" i="12"/>
  <c r="B10" i="12"/>
  <c r="C7" i="12"/>
  <c r="B7" i="12"/>
  <c r="C4" i="12"/>
  <c r="B4" i="12"/>
  <c r="B3" i="12"/>
  <c r="B11" i="12"/>
  <c r="B14" i="12"/>
  <c r="C14" i="12"/>
  <c r="C2" i="10"/>
  <c r="D2" i="10"/>
  <c r="E2" i="10"/>
  <c r="F2" i="10"/>
  <c r="D5" i="20"/>
  <c r="D6" i="20"/>
  <c r="D7" i="20"/>
  <c r="D9" i="20"/>
  <c r="B16" i="3"/>
  <c r="A26" i="19"/>
  <c r="A26" i="16"/>
  <c r="B9" i="19"/>
  <c r="B10" i="19"/>
  <c r="B11" i="19"/>
  <c r="B12" i="19"/>
  <c r="B13" i="19"/>
  <c r="C24" i="18"/>
  <c r="C27" i="5"/>
  <c r="B9" i="16"/>
  <c r="B10" i="16"/>
  <c r="B11" i="16"/>
  <c r="B12" i="16"/>
  <c r="B13" i="16"/>
  <c r="B16" i="16"/>
  <c r="B6" i="15"/>
  <c r="F15" i="15"/>
  <c r="F16" i="15"/>
  <c r="B20" i="15"/>
  <c r="F14" i="15"/>
  <c r="B19" i="15"/>
  <c r="F7" i="15"/>
  <c r="F8" i="15"/>
  <c r="B10" i="15"/>
  <c r="B9" i="1"/>
  <c r="B10" i="1"/>
  <c r="B11" i="1"/>
  <c r="D5" i="14"/>
  <c r="D6" i="14"/>
  <c r="D7" i="14"/>
  <c r="D9" i="14"/>
  <c r="B7" i="11"/>
  <c r="C7" i="11"/>
  <c r="B8" i="11"/>
  <c r="B9" i="11"/>
  <c r="C8" i="11"/>
  <c r="C9" i="11"/>
  <c r="B16" i="12"/>
  <c r="B8" i="12"/>
  <c r="C8" i="12"/>
  <c r="B5" i="12"/>
  <c r="C5" i="12"/>
  <c r="B5" i="10"/>
  <c r="C5" i="10"/>
  <c r="D5" i="10"/>
  <c r="E5" i="10"/>
  <c r="F5" i="10"/>
  <c r="B7" i="10"/>
  <c r="B13" i="10"/>
  <c r="B8" i="8"/>
  <c r="B7" i="3"/>
  <c r="B13" i="3"/>
  <c r="B17" i="3"/>
  <c r="C27" i="18"/>
  <c r="C29" i="18"/>
  <c r="E8" i="12"/>
  <c r="B19" i="12"/>
  <c r="B26" i="12"/>
  <c r="B18" i="12"/>
  <c r="B12" i="1"/>
  <c r="B13" i="1"/>
  <c r="B17" i="16"/>
  <c r="B21" i="16"/>
  <c r="C17" i="5"/>
  <c r="C18" i="5"/>
  <c r="B12" i="10"/>
  <c r="E5" i="12"/>
  <c r="C26" i="12"/>
  <c r="C16" i="12"/>
  <c r="C14" i="5"/>
  <c r="C22" i="5"/>
  <c r="B14" i="3"/>
  <c r="B15" i="3"/>
  <c r="B18" i="3"/>
  <c r="B21" i="3"/>
  <c r="B21" i="15"/>
  <c r="B22" i="15"/>
  <c r="B23" i="15"/>
  <c r="B16" i="19"/>
  <c r="B20" i="19"/>
  <c r="B15" i="10"/>
  <c r="B17" i="10"/>
  <c r="C18" i="12"/>
  <c r="B15" i="15"/>
  <c r="F9" i="15"/>
  <c r="F10" i="15"/>
  <c r="B13" i="15"/>
  <c r="B14" i="15"/>
  <c r="B20" i="16"/>
  <c r="C20" i="12"/>
  <c r="B20" i="12"/>
  <c r="B23" i="12"/>
  <c r="E26" i="12"/>
  <c r="C29" i="5"/>
  <c r="B22" i="16"/>
  <c r="B23" i="16"/>
  <c r="B28" i="16"/>
  <c r="B17" i="19"/>
  <c r="B21" i="19"/>
  <c r="B22" i="19"/>
  <c r="B23" i="19"/>
  <c r="B28" i="19"/>
  <c r="B16" i="15"/>
  <c r="E20" i="12"/>
  <c r="E23" i="12"/>
  <c r="B27" i="15"/>
  <c r="B29" i="15"/>
  <c r="B31" i="15"/>
  <c r="B33" i="15"/>
  <c r="B26" i="15"/>
  <c r="B28" i="15"/>
  <c r="B30" i="15"/>
  <c r="B32" i="15"/>
  <c r="B34" i="15"/>
  <c r="B35" i="15"/>
  <c r="B37" i="15"/>
  <c r="E34" i="18"/>
  <c r="D26" i="18"/>
  <c r="D18" i="18"/>
  <c r="D4" i="18"/>
  <c r="C16" i="19"/>
  <c r="C20" i="19"/>
  <c r="C12" i="10"/>
  <c r="C9" i="1"/>
  <c r="C18" i="3"/>
  <c r="D29" i="5"/>
  <c r="C21" i="3"/>
  <c r="E7" i="20"/>
  <c r="C7" i="3"/>
  <c r="C11" i="16"/>
  <c r="C17" i="10"/>
  <c r="C15" i="15"/>
  <c r="D16" i="12"/>
  <c r="C26" i="15"/>
  <c r="C21" i="16"/>
  <c r="E9" i="14"/>
  <c r="D22" i="5"/>
  <c r="C21" i="15"/>
  <c r="C14" i="15"/>
  <c r="E45" i="18"/>
  <c r="D25" i="18"/>
  <c r="D17" i="18"/>
  <c r="D11" i="12"/>
  <c r="D8" i="11"/>
  <c r="D7" i="11"/>
  <c r="C10" i="19"/>
  <c r="E7" i="14"/>
  <c r="D19" i="12"/>
  <c r="E5" i="14"/>
  <c r="C13" i="3"/>
  <c r="D23" i="12"/>
  <c r="C9" i="16"/>
  <c r="C20" i="15"/>
  <c r="G10" i="15"/>
  <c r="C15" i="3"/>
  <c r="F8" i="12"/>
  <c r="F5" i="12"/>
  <c r="D14" i="5"/>
  <c r="C37" i="15"/>
  <c r="C16" i="3"/>
  <c r="D18" i="12"/>
  <c r="C19" i="15"/>
  <c r="D17" i="5"/>
  <c r="C6" i="8"/>
  <c r="D4" i="5"/>
  <c r="D29" i="18"/>
  <c r="D24" i="18"/>
  <c r="D14" i="18"/>
  <c r="D14" i="12"/>
  <c r="D9" i="11"/>
  <c r="C22" i="19"/>
  <c r="C17" i="19"/>
  <c r="C23" i="19"/>
  <c r="D12" i="5"/>
  <c r="C14" i="3"/>
  <c r="E6" i="20"/>
  <c r="C16" i="16"/>
  <c r="C13" i="15"/>
  <c r="D27" i="5"/>
  <c r="C17" i="3"/>
  <c r="C15" i="10"/>
  <c r="G16" i="15"/>
  <c r="G14" i="15"/>
  <c r="C35" i="15"/>
  <c r="F23" i="12"/>
  <c r="C13" i="1"/>
  <c r="C8" i="8"/>
  <c r="C22" i="15"/>
  <c r="C6" i="15"/>
  <c r="C23" i="15"/>
  <c r="E35" i="18"/>
  <c r="D27" i="18"/>
  <c r="D22" i="18"/>
  <c r="D12" i="18"/>
  <c r="C7" i="10"/>
  <c r="C11" i="19"/>
  <c r="C9" i="19"/>
  <c r="C21" i="19"/>
  <c r="C17" i="16"/>
  <c r="F20" i="12"/>
  <c r="E6" i="14"/>
  <c r="E9" i="20"/>
  <c r="F26" i="12"/>
  <c r="C11" i="1"/>
  <c r="C16" i="15"/>
  <c r="D8" i="12"/>
  <c r="C20" i="16"/>
  <c r="D18" i="5"/>
  <c r="C23" i="16"/>
  <c r="D20" i="12"/>
  <c r="C12" i="1"/>
  <c r="E5" i="20"/>
  <c r="C10" i="16"/>
  <c r="C22" i="16"/>
  <c r="G15" i="15"/>
  <c r="C10" i="1"/>
  <c r="D5" i="12"/>
</calcChain>
</file>

<file path=xl/sharedStrings.xml><?xml version="1.0" encoding="utf-8"?>
<sst xmlns="http://schemas.openxmlformats.org/spreadsheetml/2006/main" count="775" uniqueCount="470">
  <si>
    <t>WACC</t>
  </si>
  <si>
    <t>Subtract debt</t>
  </si>
  <si>
    <t>Add cash</t>
  </si>
  <si>
    <t>Value of equity</t>
  </si>
  <si>
    <t>Assets</t>
  </si>
  <si>
    <t>Total assets</t>
  </si>
  <si>
    <t>Enterprise value</t>
  </si>
  <si>
    <t>Number of high growth years</t>
  </si>
  <si>
    <r>
      <t>Normal growth rate, g</t>
    </r>
    <r>
      <rPr>
        <vertAlign val="subscript"/>
        <sz val="10"/>
        <rFont val="Arial"/>
        <family val="2"/>
      </rPr>
      <t>normal</t>
    </r>
  </si>
  <si>
    <r>
      <t>High growth rate, g</t>
    </r>
    <r>
      <rPr>
        <vertAlign val="subscript"/>
        <sz val="10"/>
        <rFont val="Arial"/>
        <family val="2"/>
      </rPr>
      <t>high</t>
    </r>
  </si>
  <si>
    <t>Term 1:  PV of high-growth cash flows</t>
  </si>
  <si>
    <r>
      <t xml:space="preserve">      Term 1 factor:  (1+g</t>
    </r>
    <r>
      <rPr>
        <vertAlign val="subscript"/>
        <sz val="10"/>
        <rFont val="Arial"/>
        <family val="2"/>
      </rPr>
      <t>high</t>
    </r>
    <r>
      <rPr>
        <sz val="10"/>
        <rFont val="Arial"/>
        <family val="2"/>
      </rPr>
      <t>)/(1+WACC)</t>
    </r>
  </si>
  <si>
    <t>Term 2:  PV of normal-growth cash flows</t>
  </si>
  <si>
    <t>Share value</t>
  </si>
  <si>
    <r>
      <t>Cost of equity, r</t>
    </r>
    <r>
      <rPr>
        <vertAlign val="subscript"/>
        <sz val="10"/>
        <rFont val="Arial"/>
        <family val="2"/>
      </rPr>
      <t>E</t>
    </r>
  </si>
  <si>
    <r>
      <t xml:space="preserve">Equity beta, </t>
    </r>
    <r>
      <rPr>
        <sz val="10"/>
        <rFont val="Symbol"/>
        <family val="1"/>
        <charset val="2"/>
      </rPr>
      <t>b</t>
    </r>
    <r>
      <rPr>
        <vertAlign val="subscript"/>
        <sz val="10"/>
        <rFont val="Arial"/>
        <family val="2"/>
      </rPr>
      <t>E</t>
    </r>
  </si>
  <si>
    <r>
      <t>Expected market return, E(r</t>
    </r>
    <r>
      <rPr>
        <vertAlign val="subscript"/>
        <sz val="10"/>
        <rFont val="Arial"/>
        <family val="2"/>
      </rPr>
      <t>M</t>
    </r>
    <r>
      <rPr>
        <sz val="10"/>
        <rFont val="Arial"/>
        <family val="2"/>
      </rPr>
      <t>)</t>
    </r>
  </si>
  <si>
    <r>
      <t>Risk-free rate, r</t>
    </r>
    <r>
      <rPr>
        <vertAlign val="subscript"/>
        <sz val="10"/>
        <rFont val="Arial"/>
        <family val="2"/>
      </rPr>
      <t>f</t>
    </r>
  </si>
  <si>
    <t>Number of shares</t>
  </si>
  <si>
    <r>
      <t>Corporate tax rate, T</t>
    </r>
    <r>
      <rPr>
        <vertAlign val="subscript"/>
        <sz val="10"/>
        <rFont val="Arial"/>
        <family val="2"/>
      </rPr>
      <t>C</t>
    </r>
  </si>
  <si>
    <t>Australia</t>
  </si>
  <si>
    <t>Canada</t>
  </si>
  <si>
    <t>Denmark</t>
  </si>
  <si>
    <t>France</t>
  </si>
  <si>
    <t>Germany</t>
  </si>
  <si>
    <t>Ireland</t>
  </si>
  <si>
    <t>Italy</t>
  </si>
  <si>
    <t>Japan</t>
  </si>
  <si>
    <t>Spain</t>
  </si>
  <si>
    <t>Sweden</t>
  </si>
  <si>
    <t>Switzerland</t>
  </si>
  <si>
    <t>United Kingdom</t>
  </si>
  <si>
    <t>United States</t>
  </si>
  <si>
    <t>Bonds</t>
  </si>
  <si>
    <r>
      <t>ESTIMATING E(r</t>
    </r>
    <r>
      <rPr>
        <b/>
        <vertAlign val="subscript"/>
        <sz val="14"/>
        <rFont val="Arial"/>
        <family val="2"/>
      </rPr>
      <t>M</t>
    </r>
    <r>
      <rPr>
        <b/>
        <sz val="14"/>
        <rFont val="Arial"/>
        <family val="2"/>
      </rPr>
      <t>) USING THE P/E RATIO</t>
    </r>
  </si>
  <si>
    <t>Market P/E ratio</t>
  </si>
  <si>
    <r>
      <t xml:space="preserve">Estimated growth of market earnings, </t>
    </r>
    <r>
      <rPr>
        <i/>
        <sz val="10"/>
        <rFont val="Arial"/>
        <family val="2"/>
      </rPr>
      <t>g</t>
    </r>
  </si>
  <si>
    <r>
      <t xml:space="preserve">Market dividend payout ratio, </t>
    </r>
    <r>
      <rPr>
        <i/>
        <sz val="10"/>
        <rFont val="Arial"/>
        <family val="2"/>
      </rPr>
      <t>b</t>
    </r>
  </si>
  <si>
    <r>
      <t>E(r</t>
    </r>
    <r>
      <rPr>
        <vertAlign val="subscript"/>
        <sz val="10"/>
        <rFont val="Arial"/>
        <family val="2"/>
      </rPr>
      <t>M</t>
    </r>
    <r>
      <rPr>
        <sz val="10"/>
        <rFont val="Arial"/>
        <family val="2"/>
      </rPr>
      <t>)</t>
    </r>
  </si>
  <si>
    <r>
      <t>Risk-free rate,</t>
    </r>
    <r>
      <rPr>
        <i/>
        <sz val="10"/>
        <rFont val="Arial"/>
        <family val="2"/>
      </rPr>
      <t xml:space="preserve"> r</t>
    </r>
    <r>
      <rPr>
        <i/>
        <vertAlign val="subscript"/>
        <sz val="10"/>
        <rFont val="Arial"/>
        <family val="2"/>
      </rPr>
      <t>f</t>
    </r>
  </si>
  <si>
    <r>
      <t>Market risk premium, E(r</t>
    </r>
    <r>
      <rPr>
        <vertAlign val="subscript"/>
        <sz val="10"/>
        <rFont val="Arial"/>
        <family val="2"/>
      </rPr>
      <t>M</t>
    </r>
    <r>
      <rPr>
        <sz val="10"/>
        <rFont val="Arial"/>
        <family val="2"/>
      </rPr>
      <t>) - r</t>
    </r>
    <r>
      <rPr>
        <vertAlign val="subscript"/>
        <sz val="10"/>
        <rFont val="Arial"/>
        <family val="2"/>
      </rPr>
      <t>f</t>
    </r>
  </si>
  <si>
    <t>Belgium</t>
  </si>
  <si>
    <t>HAUL-IT CORPORATION--EQUITY PAYOUT 
HISTORY AND SHARE VALUATION</t>
  </si>
  <si>
    <t>Repurchases</t>
  </si>
  <si>
    <t>Dividends</t>
  </si>
  <si>
    <t>Valuation</t>
  </si>
  <si>
    <t>Current equity payout</t>
  </si>
  <si>
    <t>Anticipated future growth</t>
  </si>
  <si>
    <t>Value of total equity</t>
  </si>
  <si>
    <t>Number of shares outstanding</t>
  </si>
  <si>
    <t>Value per share</t>
  </si>
  <si>
    <r>
      <t>Haul-It's cost of equity, r</t>
    </r>
    <r>
      <rPr>
        <vertAlign val="subscript"/>
        <sz val="10"/>
        <rFont val="Arial"/>
        <family val="2"/>
      </rPr>
      <t>E</t>
    </r>
  </si>
  <si>
    <t>Total cash paid to equity holders</t>
  </si>
  <si>
    <t>Sales</t>
  </si>
  <si>
    <t>Profits</t>
  </si>
  <si>
    <t>Equity value</t>
  </si>
  <si>
    <t>EPS:  Earnings per share</t>
  </si>
  <si>
    <t>SHOES FOR LESS (SFL) AND LESSER SHOES (LS)
comparing P/E ratios</t>
  </si>
  <si>
    <t>KR</t>
  </si>
  <si>
    <t>SWY</t>
  </si>
  <si>
    <t>Who's more
highly valued?</t>
  </si>
  <si>
    <t>Stock price</t>
  </si>
  <si>
    <t>&lt;-- Yahoo</t>
  </si>
  <si>
    <t>Earnings per share (EPS)</t>
  </si>
  <si>
    <t>Price/Earnings (P/E) ratio</t>
  </si>
  <si>
    <t>Book value of equity per share</t>
  </si>
  <si>
    <t>Equity market to book ratio</t>
  </si>
  <si>
    <t>Number of shares outstanding (million)</t>
  </si>
  <si>
    <t>Market value of equity (billion)</t>
  </si>
  <si>
    <t>Debt/Equity (based on book values)</t>
  </si>
  <si>
    <t>Cash (billion)</t>
  </si>
  <si>
    <t>Net debt</t>
  </si>
  <si>
    <t>Book value of equity + debt (billion) - cash
(book value of enterprise)</t>
  </si>
  <si>
    <t>Market value of equity + debt (billion) - cash
(market value of enterprise)</t>
  </si>
  <si>
    <t>Enterprise value, market to book</t>
  </si>
  <si>
    <t>Earnings before interest, taxes, depreciation
and amortization (EBITDA) in billion$</t>
  </si>
  <si>
    <t>Market enterprise value to EBITDA</t>
  </si>
  <si>
    <t>Market enterprise value to Sales</t>
  </si>
  <si>
    <t>ABC HOLDING COMPANY</t>
  </si>
  <si>
    <t>Number of ABC shares</t>
  </si>
  <si>
    <t>ABC owns shares in</t>
  </si>
  <si>
    <t xml:space="preserve">    XYZ Widgets</t>
  </si>
  <si>
    <t>Market 
value</t>
  </si>
  <si>
    <t>Market value
of ABC holdings
in company</t>
  </si>
  <si>
    <t xml:space="preserve">    QRM Smidgets</t>
  </si>
  <si>
    <t>Total value of ABC holdings</t>
  </si>
  <si>
    <t>Percentage
of shares
owned by ABC</t>
  </si>
  <si>
    <t>Per share value of ABC Holdings</t>
  </si>
  <si>
    <t>VALUING ARNOLD CORP</t>
  </si>
  <si>
    <t>Future FCF growth rate</t>
  </si>
  <si>
    <t>Building cost</t>
  </si>
  <si>
    <t>Depreciable life (years)</t>
  </si>
  <si>
    <t>Annual rents</t>
  </si>
  <si>
    <t>Annual expenses</t>
  </si>
  <si>
    <t>Annual depreciation</t>
  </si>
  <si>
    <t>Anticipated annual building profit before taxes</t>
  </si>
  <si>
    <t>Profit after taxes</t>
  </si>
  <si>
    <t>Free cash flow</t>
  </si>
  <si>
    <t>Anticipated building market price</t>
  </si>
  <si>
    <t>Profit from sale of building</t>
  </si>
  <si>
    <t>Tax on profit</t>
  </si>
  <si>
    <t>Terminal value:  cash flow from sale</t>
  </si>
  <si>
    <t>Year</t>
  </si>
  <si>
    <t>Shares issued</t>
  </si>
  <si>
    <t>STATION BUILDING PARTNERSHIP--SHARE VALUATION</t>
  </si>
  <si>
    <t>Share price</t>
  </si>
  <si>
    <t>Building depreciation, per share</t>
  </si>
  <si>
    <t>Profit and loss, Station Building as a whole</t>
  </si>
  <si>
    <t>Annual rent</t>
  </si>
  <si>
    <t>Minus annual expenses</t>
  </si>
  <si>
    <t>Minus annual depreciation</t>
  </si>
  <si>
    <t>Terminal value, year 10, Station Building as a whole</t>
  </si>
  <si>
    <t>Terminal value, year 10, Aunt Sarah's share</t>
  </si>
  <si>
    <t>Profit and loss, Aunt Sarah's share</t>
  </si>
  <si>
    <t>Aunt Sarah's tax rate</t>
  </si>
  <si>
    <t>Book value in year 10, per share</t>
  </si>
  <si>
    <t>Accumulated depreciation, year 10</t>
  </si>
  <si>
    <t>Book value of building, year 10</t>
  </si>
  <si>
    <t>Share value:  Present value of Aunt Sarah's
free cash flows</t>
  </si>
  <si>
    <t>Aunt Sarah's
anticipated FCF</t>
  </si>
  <si>
    <t>FORMANIS CORPORATION</t>
  </si>
  <si>
    <t>Current FCF</t>
  </si>
  <si>
    <t>Anticipated growth rate, years 1-5</t>
  </si>
  <si>
    <t>Long-term growth rate, after year 5</t>
  </si>
  <si>
    <t>Anticipated
FCF</t>
  </si>
  <si>
    <t>Terminal value calculation</t>
  </si>
  <si>
    <t>FCF in year 5</t>
  </si>
  <si>
    <t>Terminal value</t>
  </si>
  <si>
    <t>Valuing Formanis Corporation</t>
  </si>
  <si>
    <t>Present value of FCFs, years 1-5</t>
  </si>
  <si>
    <t>Present value of terminal value</t>
  </si>
  <si>
    <t>Value of Formanis</t>
  </si>
  <si>
    <t>Per share value</t>
  </si>
  <si>
    <t>Long-term growth rate ↓</t>
  </si>
  <si>
    <t>WACC →</t>
  </si>
  <si>
    <t>TARGET CORPORATION</t>
  </si>
  <si>
    <t>Income statement</t>
  </si>
  <si>
    <t>Revenues</t>
  </si>
  <si>
    <t>Cost of sales</t>
  </si>
  <si>
    <t>Selling, general and administrative expenses</t>
  </si>
  <si>
    <t>Interest expense</t>
  </si>
  <si>
    <t>Income taxes</t>
  </si>
  <si>
    <t>Net earnings</t>
  </si>
  <si>
    <t>Balance sheet</t>
  </si>
  <si>
    <t>Cash and cash equivalents</t>
  </si>
  <si>
    <t>Inventory</t>
  </si>
  <si>
    <t>Other current assets</t>
  </si>
  <si>
    <t xml:space="preserve">    Total current assets</t>
  </si>
  <si>
    <t>Land, plant, property, and equipment</t>
  </si>
  <si>
    <t>Other assets</t>
  </si>
  <si>
    <t>Liabilities and shareholder equity</t>
  </si>
  <si>
    <t>Current portion of long-term debt and notes payable</t>
  </si>
  <si>
    <t>Total current liabilities</t>
  </si>
  <si>
    <t>Long-term debt</t>
  </si>
  <si>
    <t>Shareholders equity</t>
  </si>
  <si>
    <t xml:space="preserve">     Total equity</t>
  </si>
  <si>
    <t>Total liabilities and shareholder equity</t>
  </si>
  <si>
    <t>Other relevant information</t>
  </si>
  <si>
    <t>Shares outstanding</t>
  </si>
  <si>
    <t>Stock beta</t>
  </si>
  <si>
    <t>Dividends and stock repurchases</t>
  </si>
  <si>
    <t>Total equity
payout</t>
  </si>
  <si>
    <t>Growth rate</t>
  </si>
  <si>
    <t>Total debt, D</t>
  </si>
  <si>
    <r>
      <t>Interest cost, r</t>
    </r>
    <r>
      <rPr>
        <vertAlign val="subscript"/>
        <sz val="10"/>
        <rFont val="Arial"/>
        <family val="2"/>
      </rPr>
      <t>D</t>
    </r>
  </si>
  <si>
    <t>Earnings before taxes</t>
  </si>
  <si>
    <t>Market value of Target, E+D</t>
  </si>
  <si>
    <t>Number of shares (million)</t>
  </si>
  <si>
    <r>
      <t>Cost of equity, r</t>
    </r>
    <r>
      <rPr>
        <vertAlign val="subscript"/>
        <sz val="10"/>
        <rFont val="Arial"/>
        <family val="2"/>
      </rPr>
      <t>E</t>
    </r>
    <r>
      <rPr>
        <sz val="10"/>
        <rFont val="Arial"/>
        <family val="2"/>
      </rPr>
      <t>, using Gordon model</t>
    </r>
  </si>
  <si>
    <t>TARGET CORP.'S WACC USING 
GORDON MODEL FOR COST OF EQUITY</t>
  </si>
  <si>
    <t>P/E:  Price-earnings ratio</t>
  </si>
  <si>
    <t>South Africa</t>
  </si>
  <si>
    <t>Predict firm's future free cash flows (FCF).  In Chapters 7 we did this using a pro forma model.</t>
  </si>
  <si>
    <t>Compute the firm's weighted average cost of capital (WACC):</t>
  </si>
  <si>
    <r>
      <t>Discount all future free cash flows to get the enterprise value of the firm:
We've multiplied by (1+WACC)</t>
    </r>
    <r>
      <rPr>
        <vertAlign val="superscript"/>
        <sz val="8.5"/>
        <rFont val="Arial"/>
        <family val="2"/>
      </rPr>
      <t>0.5</t>
    </r>
    <r>
      <rPr>
        <sz val="10"/>
        <rFont val="Arial"/>
        <family val="2"/>
      </rPr>
      <t xml:space="preserve"> because cash flows are assumed to occur in midyear.
</t>
    </r>
  </si>
  <si>
    <r>
      <t>Discount some of the free cash flows and the terminal value to get the enterprise value of the firm:
The terminal value is what the firm will be worth on date N.  We've multiplied by (1+WACC)</t>
    </r>
    <r>
      <rPr>
        <vertAlign val="superscript"/>
        <sz val="8.5"/>
        <rFont val="Arial"/>
        <family val="2"/>
      </rPr>
      <t>0.5</t>
    </r>
    <r>
      <rPr>
        <sz val="10"/>
        <rFont val="Arial"/>
        <family val="2"/>
      </rPr>
      <t xml:space="preserve"> because cash flows are assumed to occur in midyear.</t>
    </r>
  </si>
  <si>
    <t xml:space="preserve">Subtract debt value from firm value to get total equity value:
</t>
  </si>
  <si>
    <t xml:space="preserve">Add initial cash balances to enterprise value to get total value of the firm's assets:
</t>
  </si>
  <si>
    <t xml:space="preserve">Divide equity value by the number of shares to derive the share value:
</t>
  </si>
  <si>
    <t>Alternative</t>
  </si>
  <si>
    <t>2015 FCF (base year)</t>
  </si>
  <si>
    <t>End-2015 debt</t>
  </si>
  <si>
    <t>End-2015 cash</t>
  </si>
  <si>
    <t>Number of shares, end 2015</t>
  </si>
  <si>
    <t>Compound annual
growth, 2010-2014</t>
  </si>
  <si>
    <t>VALUING XANTHOM CORP.</t>
  </si>
  <si>
    <t>LS:  
Lesser Shoes</t>
  </si>
  <si>
    <t>SFL:  
Shoes for Less</t>
  </si>
  <si>
    <t>Safeway Inc. (SWY)</t>
  </si>
  <si>
    <t>Key Statistics</t>
  </si>
  <si>
    <t>Data provided by Capital IQ, except where noted.</t>
  </si>
  <si>
    <t>Valuation Measures</t>
  </si>
  <si>
    <t>7.81B</t>
  </si>
  <si>
    <t>9.22B</t>
  </si>
  <si>
    <t>Trailing P/E (ttm, intraday):</t>
  </si>
  <si>
    <t>Price/Sales (ttm):</t>
  </si>
  <si>
    <t>Price/Book (mrq):</t>
  </si>
  <si>
    <t>Financial Highlights</t>
  </si>
  <si>
    <t>Fiscal Year</t>
  </si>
  <si>
    <t>Fiscal Year Ends:</t>
  </si>
  <si>
    <t>Most Recent Quarter (mrq):</t>
  </si>
  <si>
    <t>Sep 6, 2014</t>
  </si>
  <si>
    <t>Profitability</t>
  </si>
  <si>
    <t>Profit Margin (ttm):</t>
  </si>
  <si>
    <t>Operating Margin (ttm):</t>
  </si>
  <si>
    <t>Management Effectiveness</t>
  </si>
  <si>
    <t>Return on Assets (ttm):</t>
  </si>
  <si>
    <t>Return on Equity (ttm):</t>
  </si>
  <si>
    <t>Income Statement</t>
  </si>
  <si>
    <t>Revenue (ttm):</t>
  </si>
  <si>
    <t>36.54B</t>
  </si>
  <si>
    <t>Revenue Per Share (ttm):</t>
  </si>
  <si>
    <t>Qtrly Revenue Growth (yoy):</t>
  </si>
  <si>
    <t>Gross Profit (ttm):</t>
  </si>
  <si>
    <t>9.49B</t>
  </si>
  <si>
    <t>1.52B</t>
  </si>
  <si>
    <t>Net Income Avl to Common (ttm):</t>
  </si>
  <si>
    <t>26.90M</t>
  </si>
  <si>
    <t>Diluted EPS (ttm):</t>
  </si>
  <si>
    <t>Qtrly Earnings Growth (yoy):</t>
  </si>
  <si>
    <t>Balance Sheet</t>
  </si>
  <si>
    <t>Total Cash (mrq):</t>
  </si>
  <si>
    <t>1.41B</t>
  </si>
  <si>
    <t>Total Cash Per Share (mrq):</t>
  </si>
  <si>
    <t>Total Debt (mrq):</t>
  </si>
  <si>
    <t>2.82B</t>
  </si>
  <si>
    <t>Total Debt/Equity (mrq):</t>
  </si>
  <si>
    <t>Current Ratio (mrq):</t>
  </si>
  <si>
    <t>Book Value Per Share (mrq):</t>
  </si>
  <si>
    <t>Cash Flow Statement</t>
  </si>
  <si>
    <t>Operating Cash Flow (ttm):</t>
  </si>
  <si>
    <t>-161.10M</t>
  </si>
  <si>
    <t>Levered Free Cash Flow (ttm):</t>
  </si>
  <si>
    <t>1.23B</t>
  </si>
  <si>
    <t>View Financials</t>
  </si>
  <si>
    <t>Income Statement - Balance Sheet - Cash Flow</t>
  </si>
  <si>
    <t>Trading Information</t>
  </si>
  <si>
    <t>Stock Price History</t>
  </si>
  <si>
    <t>Beta:</t>
  </si>
  <si>
    <t>Share Statistics</t>
  </si>
  <si>
    <t>229.00M</t>
  </si>
  <si>
    <t>Float:</t>
  </si>
  <si>
    <t>226.65M</t>
  </si>
  <si>
    <t>11.09M</t>
  </si>
  <si>
    <t>11.01M</t>
  </si>
  <si>
    <t>Dividends &amp; Splits</t>
  </si>
  <si>
    <t>Oct 9, 2014</t>
  </si>
  <si>
    <t>Sep 16, 2014</t>
  </si>
  <si>
    <t>Feb 26, 1998</t>
  </si>
  <si>
    <t>-NYSE  Watchlist</t>
  </si>
  <si>
    <t>|After Hours : 34.08 Down0.01 (0.04%) 4:57PM EDT</t>
  </si>
  <si>
    <t>Market Cap (intraday)5:</t>
  </si>
  <si>
    <t>Enterprise Value (Oct 27, 2014)3:</t>
  </si>
  <si>
    <t>Forward P/E (fye Dec 28, 2015)1:</t>
  </si>
  <si>
    <t>PEG Ratio (5 yr expected)1:</t>
  </si>
  <si>
    <t>Enterprise Value/Revenue (ttm)3:</t>
  </si>
  <si>
    <t>Enterprise Value/EBITDA (ttm)6:</t>
  </si>
  <si>
    <t>EBITDA (ttm)6:</t>
  </si>
  <si>
    <t>52-Week Change3:</t>
  </si>
  <si>
    <t>S&amp;P500 52-Week Change3:</t>
  </si>
  <si>
    <t>52-Week High (Mar 6, 2014)3:</t>
  </si>
  <si>
    <t>52-Week Low (Jun 6, 2013)3:</t>
  </si>
  <si>
    <t>50-Day Moving Average3:</t>
  </si>
  <si>
    <t>200-Day Moving Average3:</t>
  </si>
  <si>
    <t>Avg Vol (3 month)3:</t>
  </si>
  <si>
    <t>Avg Vol (10 day)3:</t>
  </si>
  <si>
    <t>Shares Outstanding5:</t>
  </si>
  <si>
    <t>% Held by Insiders1:</t>
  </si>
  <si>
    <t>% Held by Institutions1:</t>
  </si>
  <si>
    <t>Shares Short (as of Oct 15, 2014)3:</t>
  </si>
  <si>
    <t>Short Ratio (as of Oct 15, 2014)3:</t>
  </si>
  <si>
    <t>Short % of Float (as of Oct 15, 2014)3:</t>
  </si>
  <si>
    <t>Shares Short (prior month)3:</t>
  </si>
  <si>
    <t>Forward Annual Dividend Rate4:</t>
  </si>
  <si>
    <t>Forward Annual Dividend Yield4:</t>
  </si>
  <si>
    <t>Trailing Annual Dividend Yield3:</t>
  </si>
  <si>
    <t>5 Year Average Dividend Yield4:</t>
  </si>
  <si>
    <t>Payout Ratio4:</t>
  </si>
  <si>
    <t>Dividend Date3:</t>
  </si>
  <si>
    <t>Ex-Dividend Date4:</t>
  </si>
  <si>
    <t>Last Split Factor (new per old)2:</t>
  </si>
  <si>
    <t>Last Split Date3:</t>
  </si>
  <si>
    <t>The Kroger Co. (KR)</t>
  </si>
  <si>
    <t>26.80B</t>
  </si>
  <si>
    <t>37.56B</t>
  </si>
  <si>
    <t>Aug 16, 2014</t>
  </si>
  <si>
    <t>103.96B</t>
  </si>
  <si>
    <t>20.24B</t>
  </si>
  <si>
    <t>4.70B</t>
  </si>
  <si>
    <t>1.56B</t>
  </si>
  <si>
    <t>248.00M</t>
  </si>
  <si>
    <t>11.20B</t>
  </si>
  <si>
    <t>3.52B</t>
  </si>
  <si>
    <t>659.75M</t>
  </si>
  <si>
    <t>491.09M</t>
  </si>
  <si>
    <t>459.52M</t>
  </si>
  <si>
    <t>9.20M</t>
  </si>
  <si>
    <t>8.96M</t>
  </si>
  <si>
    <t>Dec 1, 2014</t>
  </si>
  <si>
    <t>Nov 12, 2014</t>
  </si>
  <si>
    <t>Jun 29, 1999</t>
  </si>
  <si>
    <t>|After Hours : 54.48 Down0.09 (0.17%) 4:57PM EDT</t>
  </si>
  <si>
    <t>Forward P/E (fye Feb 1, 2016)1:</t>
  </si>
  <si>
    <t>52-Week High (Oct 23, 2014)3:</t>
  </si>
  <si>
    <t>52-Week Low (Feb 5, 2014)3:</t>
  </si>
  <si>
    <t>SAFEWAY (SWY) AND KROGER (KR)--COMPARISON BASED ON MULTIPLES
Based on Yahoo Profiles, 27 October 2014</t>
  </si>
  <si>
    <t>Up0.38(0.70%) 4:00PM EDT</t>
  </si>
  <si>
    <t>Down0.03(0.09%) 4:02PM EDT</t>
  </si>
  <si>
    <t>Total Debt (billion)</t>
  </si>
  <si>
    <t>Target Corp. (TGT)</t>
  </si>
  <si>
    <t>View: Annual Data | Quarterly Data</t>
  </si>
  <si>
    <t>All numbers in thousands</t>
  </si>
  <si>
    <t>Period Ending</t>
  </si>
  <si>
    <t>Feb 1, 2014</t>
  </si>
  <si>
    <t>Feb 2, 2013</t>
  </si>
  <si>
    <t>Jan 28, 2012</t>
  </si>
  <si>
    <t xml:space="preserve">Total Revenue </t>
  </si>
  <si>
    <t>Cost of Revenue</t>
  </si>
  <si>
    <t xml:space="preserve">Gross Profit </t>
  </si>
  <si>
    <t>Operating Expenses</t>
  </si>
  <si>
    <t>Research Development</t>
  </si>
  <si>
    <t>Selling General and Administrative</t>
  </si>
  <si>
    <t>Non Recurring</t>
  </si>
  <si>
    <t>Others</t>
  </si>
  <si>
    <t>Total Operating Expenses</t>
  </si>
  <si>
    <t xml:space="preserve">Operating Income or Loss </t>
  </si>
  <si>
    <t>Income from Continuing Operations</t>
  </si>
  <si>
    <t>Total Other Income/Expenses Net</t>
  </si>
  <si>
    <t>Earnings Before Interest And Taxes</t>
  </si>
  <si>
    <t>Interest Expense</t>
  </si>
  <si>
    <t>Income Before Tax</t>
  </si>
  <si>
    <t>Income Tax Expense</t>
  </si>
  <si>
    <t>Minority Interest</t>
  </si>
  <si>
    <t>Net Income From Continuing Ops</t>
  </si>
  <si>
    <t>Non-recurring Events</t>
  </si>
  <si>
    <t>Discontinued Operations</t>
  </si>
  <si>
    <t>Extraordinary Items</t>
  </si>
  <si>
    <t>Effect Of Accounting Changes</t>
  </si>
  <si>
    <t>Other Items</t>
  </si>
  <si>
    <t xml:space="preserve">Net Income </t>
  </si>
  <si>
    <t>Preferred Stock And Other Adjustments</t>
  </si>
  <si>
    <t xml:space="preserve">Net Income Applicable To Common Shares </t>
  </si>
  <si>
    <t>64.17 Up2.28(3.68%) Nov 7, 4:02PM EST</t>
  </si>
  <si>
    <t>|After Hours : 64.02 Down0.15 (0.23%) Nov 7, 7:47PM EST</t>
  </si>
  <si>
    <t>Current Assets</t>
  </si>
  <si>
    <t>Cash And Cash Equivalents</t>
  </si>
  <si>
    <t>Short Term Investments</t>
  </si>
  <si>
    <t>Net Receivables</t>
  </si>
  <si>
    <t>Other Current Assets</t>
  </si>
  <si>
    <t xml:space="preserve">Total Current Assets </t>
  </si>
  <si>
    <t>Long Term Investments</t>
  </si>
  <si>
    <t>Property Plant and Equipment</t>
  </si>
  <si>
    <t>Goodwill</t>
  </si>
  <si>
    <t>Intangible Assets</t>
  </si>
  <si>
    <t>Accumulated Amortization</t>
  </si>
  <si>
    <t>Other Assets</t>
  </si>
  <si>
    <t>Deferred Long Term Asset Charges</t>
  </si>
  <si>
    <t xml:space="preserve">Total Assets </t>
  </si>
  <si>
    <t>Liabilities</t>
  </si>
  <si>
    <t>Current Liabilities</t>
  </si>
  <si>
    <t>Accounts Payable</t>
  </si>
  <si>
    <t>Short/Current Long Term Debt</t>
  </si>
  <si>
    <t>Other Current Liabilities</t>
  </si>
  <si>
    <t xml:space="preserve">Total Current Liabilities </t>
  </si>
  <si>
    <t>Long Term Debt</t>
  </si>
  <si>
    <t>Other Liabilities</t>
  </si>
  <si>
    <t>Deferred Long Term Liability Charges</t>
  </si>
  <si>
    <t>Negative Goodwill</t>
  </si>
  <si>
    <t xml:space="preserve">Total Liabilities </t>
  </si>
  <si>
    <t>Stockholders' Equity</t>
  </si>
  <si>
    <t>Misc Stocks Options Warrants</t>
  </si>
  <si>
    <t>Redeemable Preferred Stock</t>
  </si>
  <si>
    <t>Preferred Stock</t>
  </si>
  <si>
    <t>Common Stock</t>
  </si>
  <si>
    <t>Retained Earnings</t>
  </si>
  <si>
    <t>Treasury Stock</t>
  </si>
  <si>
    <t>Capital Surplus</t>
  </si>
  <si>
    <t>Other Stockholder Equity</t>
  </si>
  <si>
    <t xml:space="preserve">Total Stockholder Equity </t>
  </si>
  <si>
    <t xml:space="preserve">Net Tangible Assets </t>
  </si>
  <si>
    <t>-</t>
  </si>
  <si>
    <t xml:space="preserve">- </t>
  </si>
  <si>
    <t>Net receivable</t>
  </si>
  <si>
    <t>Common stock</t>
  </si>
  <si>
    <t>Accumulated retained earnings</t>
  </si>
  <si>
    <t>40.67B</t>
  </si>
  <si>
    <t>54.05B</t>
  </si>
  <si>
    <t>Aug 2, 2014</t>
  </si>
  <si>
    <t>73.23B</t>
  </si>
  <si>
    <t>21.44B</t>
  </si>
  <si>
    <t>5.69B</t>
  </si>
  <si>
    <t>1.51B</t>
  </si>
  <si>
    <t>803.00M</t>
  </si>
  <si>
    <t>14.19B</t>
  </si>
  <si>
    <t>3.92B</t>
  </si>
  <si>
    <t>633.72M</t>
  </si>
  <si>
    <t>600.27M</t>
  </si>
  <si>
    <t>28.60M</t>
  </si>
  <si>
    <t>29.04M</t>
  </si>
  <si>
    <t>Dec 10, 2014</t>
  </si>
  <si>
    <t>Nov 17, 2014</t>
  </si>
  <si>
    <t>Jul 20, 2000</t>
  </si>
  <si>
    <t>Enterprise Value (Nov 8, 2014)3:</t>
  </si>
  <si>
    <t>52-Week High (Nov 20, 2013)3:</t>
  </si>
  <si>
    <t>Stock price at November 7, 2014</t>
  </si>
  <si>
    <t>Less cash and cash equivalents</t>
  </si>
  <si>
    <t>Average debt over the year</t>
  </si>
  <si>
    <t>U.S. Treasury Bonds Rates</t>
  </si>
  <si>
    <t>Maturity</t>
  </si>
  <si>
    <t>Yield</t>
  </si>
  <si>
    <t>Yesterday</t>
  </si>
  <si>
    <t>Last Week</t>
  </si>
  <si>
    <t>Last Month</t>
  </si>
  <si>
    <t>3 Month</t>
  </si>
  <si>
    <t>6 Month</t>
  </si>
  <si>
    <t>2 Year</t>
  </si>
  <si>
    <t>3 Year</t>
  </si>
  <si>
    <t>5 Year</t>
  </si>
  <si>
    <t>10 Year</t>
  </si>
  <si>
    <t>30 Year</t>
  </si>
  <si>
    <t>Interest paid</t>
  </si>
  <si>
    <t>&lt;-- 10 years bond yield</t>
  </si>
  <si>
    <t>TARGET CORP.'S WACC USING SML FOR COST OF EQUITY</t>
  </si>
  <si>
    <t>Repurchase of stocks</t>
  </si>
  <si>
    <t>Total equity payout</t>
  </si>
  <si>
    <t>Cash dividend paid</t>
  </si>
  <si>
    <t>Dividends and stock repurchases (in million $)</t>
  </si>
  <si>
    <t>* source: Target Inc. Financial reports</t>
  </si>
  <si>
    <t>Number of shares ($ Thousands)</t>
  </si>
  <si>
    <t>Current equity value ($ Thousands)</t>
  </si>
  <si>
    <r>
      <t>Current equity payout, Div</t>
    </r>
    <r>
      <rPr>
        <vertAlign val="subscript"/>
        <sz val="10"/>
        <rFont val="Arial"/>
        <family val="2"/>
      </rPr>
      <t xml:space="preserve">0 </t>
    </r>
    <r>
      <rPr>
        <sz val="10"/>
        <rFont val="Arial"/>
        <family val="2"/>
      </rPr>
      <t>($ Thousands)</t>
    </r>
  </si>
  <si>
    <t>Long term growth rate of equity payout</t>
  </si>
  <si>
    <t>Market value per share, 7 November 2014</t>
  </si>
  <si>
    <t>Market value of equity 7 November 2014, E</t>
  </si>
  <si>
    <t>As of November 7, 2014</t>
  </si>
  <si>
    <t>df</t>
  </si>
  <si>
    <t>a</t>
  </si>
  <si>
    <t>Finland</t>
  </si>
  <si>
    <t>The Netherland</t>
  </si>
  <si>
    <t>New Zealand</t>
  </si>
  <si>
    <t>Norway</t>
  </si>
  <si>
    <t>Europe</t>
  </si>
  <si>
    <t>World ex-US</t>
  </si>
  <si>
    <t>World</t>
  </si>
  <si>
    <t>Arithmetic mean%</t>
  </si>
  <si>
    <t>Geometric
mean%</t>
  </si>
  <si>
    <t>ANNUALIZED REAL EQUITY RISK PREMIUM, 1900-2010</t>
  </si>
  <si>
    <r>
      <t>Source</t>
    </r>
    <r>
      <rPr>
        <sz val="10"/>
        <rFont val="Arial"/>
        <family val="2"/>
      </rPr>
      <t xml:space="preserve">:  Elroy Dimson, Paul Marsh, Mike Staunton, </t>
    </r>
    <r>
      <rPr>
        <i/>
        <sz val="10"/>
        <rFont val="Arial"/>
        <family val="2"/>
      </rPr>
      <t>Triumph of the Optimists</t>
    </r>
    <r>
      <rPr>
        <sz val="10"/>
        <rFont val="Arial"/>
        <family val="2"/>
      </rPr>
      <t xml:space="preserve">, Princeton University Press, 2002. and subsequent research [see: Dimson, Elroy and Marsh, Paul and Staunton, Mike, Equity Premia Around the World (October 7, 2011)]. </t>
    </r>
  </si>
  <si>
    <t>FIRGURE 16.1 - OWNERSHIP STRUCTURE OF ABC HOLDING COMPANY</t>
  </si>
  <si>
    <t>CALCULATING THE FIRM'S SHARE VALUE FROM THE FREE CASH FLOWS AND WACC</t>
  </si>
  <si>
    <t>Page</t>
  </si>
  <si>
    <t>Content</t>
  </si>
  <si>
    <t>Page 511 - figure</t>
  </si>
  <si>
    <t>Page 511</t>
  </si>
  <si>
    <t>Page 512</t>
  </si>
  <si>
    <t>Page 514</t>
  </si>
  <si>
    <t>Page 515</t>
  </si>
  <si>
    <t>Page 516</t>
  </si>
  <si>
    <t>Page 518</t>
  </si>
  <si>
    <t>Page 520-521</t>
  </si>
  <si>
    <t>Page 521 bottom</t>
  </si>
  <si>
    <t>Page 522</t>
  </si>
  <si>
    <t>Page 524</t>
  </si>
  <si>
    <t>Page 525</t>
  </si>
  <si>
    <t>Page 528</t>
  </si>
  <si>
    <t>Page 529-531</t>
  </si>
  <si>
    <t>Page 532</t>
  </si>
  <si>
    <t>Page 533</t>
  </si>
  <si>
    <t>Page 535</t>
  </si>
  <si>
    <t>CHAPTER 16 EXCEL SPREADSHEET 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</si>
</sst>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6" formatCode="&quot;$&quot;#,##0_);[Red]\(&quot;$&quot;#,##0\)"/>
    <numFmt numFmtId="8" formatCode="&quot;$&quot;#,##0.00_);[Red]\(&quot;$&quot;#,##0.00\)"/>
    <numFmt numFmtId="41" formatCode="_(* #,##0_);_(* \(#,##0\);_(* &quot;-&quot;_);_(@_)"/>
    <numFmt numFmtId="164" formatCode="0.000"/>
    <numFmt numFmtId="165" formatCode="_(* #,##0.00_);_(* \(#,##0.00\);_(* &quot;-&quot;_);_(@_)"/>
    <numFmt numFmtId="166" formatCode="B1mmm\-yy"/>
  </numFmts>
  <fonts count="21" x14ac:knownFonts="1">
    <font>
      <sz val="10"/>
      <name val="Arial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vertAlign val="subscript"/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Symbol"/>
      <family val="1"/>
      <charset val="2"/>
    </font>
    <font>
      <i/>
      <sz val="10"/>
      <name val="Arial"/>
      <family val="2"/>
    </font>
    <font>
      <b/>
      <vertAlign val="subscript"/>
      <sz val="14"/>
      <name val="Arial"/>
      <family val="2"/>
    </font>
    <font>
      <i/>
      <vertAlign val="subscript"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  <font>
      <vertAlign val="superscript"/>
      <sz val="8.5"/>
      <name val="Arial"/>
      <family val="2"/>
    </font>
    <font>
      <b/>
      <u val="singleAccounting"/>
      <sz val="10"/>
      <name val="Arial"/>
      <family val="2"/>
    </font>
    <font>
      <b/>
      <sz val="18"/>
      <name val="Arial"/>
      <family val="2"/>
    </font>
    <font>
      <b/>
      <sz val="13.5"/>
      <name val="Arial"/>
      <family val="2"/>
    </font>
    <font>
      <b/>
      <sz val="11"/>
      <name val="Arial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1" fillId="0" borderId="0"/>
    <xf numFmtId="9" fontId="1" fillId="0" borderId="0" applyFont="0" applyFill="0" applyBorder="0" applyAlignment="0" applyProtection="0"/>
    <xf numFmtId="0" fontId="1" fillId="0" borderId="0"/>
    <xf numFmtId="0" fontId="20" fillId="0" borderId="0" applyNumberFormat="0" applyFill="0" applyBorder="0" applyAlignment="0" applyProtection="0"/>
  </cellStyleXfs>
  <cellXfs count="111">
    <xf numFmtId="0" fontId="0" fillId="0" borderId="0" xfId="0"/>
    <xf numFmtId="3" fontId="0" fillId="0" borderId="0" xfId="0" applyNumberFormat="1"/>
    <xf numFmtId="9" fontId="0" fillId="0" borderId="0" xfId="0" applyNumberFormat="1"/>
    <xf numFmtId="0" fontId="3" fillId="0" borderId="0" xfId="0" applyFont="1"/>
    <xf numFmtId="0" fontId="0" fillId="0" borderId="0" xfId="0" applyNumberFormat="1"/>
    <xf numFmtId="8" fontId="0" fillId="0" borderId="0" xfId="0" applyNumberFormat="1"/>
    <xf numFmtId="2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10" fontId="0" fillId="0" borderId="0" xfId="0" applyNumberFormat="1"/>
    <xf numFmtId="10" fontId="0" fillId="0" borderId="0" xfId="4" applyNumberFormat="1" applyFont="1"/>
    <xf numFmtId="10" fontId="0" fillId="2" borderId="0" xfId="0" applyNumberFormat="1" applyFill="1"/>
    <xf numFmtId="0" fontId="0" fillId="2" borderId="0" xfId="0" applyFill="1"/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10" fontId="6" fillId="0" borderId="0" xfId="4" applyNumberFormat="1" applyFont="1"/>
    <xf numFmtId="2" fontId="0" fillId="2" borderId="0" xfId="0" applyNumberFormat="1" applyFill="1"/>
    <xf numFmtId="10" fontId="1" fillId="2" borderId="0" xfId="4" applyNumberFormat="1" applyFill="1"/>
    <xf numFmtId="10" fontId="1" fillId="0" borderId="0" xfId="4" applyNumberFormat="1"/>
    <xf numFmtId="0" fontId="11" fillId="0" borderId="0" xfId="3"/>
    <xf numFmtId="6" fontId="11" fillId="0" borderId="0" xfId="3" applyNumberFormat="1"/>
    <xf numFmtId="10" fontId="11" fillId="0" borderId="0" xfId="4" applyNumberFormat="1" applyFont="1"/>
    <xf numFmtId="9" fontId="11" fillId="0" borderId="0" xfId="3" applyNumberFormat="1"/>
    <xf numFmtId="0" fontId="6" fillId="0" borderId="0" xfId="3" applyFont="1"/>
    <xf numFmtId="0" fontId="6" fillId="0" borderId="0" xfId="3" applyFont="1" applyAlignment="1">
      <alignment horizontal="center"/>
    </xf>
    <xf numFmtId="10" fontId="11" fillId="0" borderId="0" xfId="3" applyNumberFormat="1"/>
    <xf numFmtId="0" fontId="11" fillId="2" borderId="0" xfId="3" applyFill="1"/>
    <xf numFmtId="2" fontId="11" fillId="2" borderId="0" xfId="3" applyNumberFormat="1" applyFill="1"/>
    <xf numFmtId="3" fontId="11" fillId="2" borderId="0" xfId="3" applyNumberFormat="1" applyFill="1"/>
    <xf numFmtId="0" fontId="11" fillId="2" borderId="0" xfId="3" applyFont="1" applyFill="1"/>
    <xf numFmtId="10" fontId="11" fillId="2" borderId="0" xfId="4" applyNumberFormat="1" applyFont="1" applyFill="1"/>
    <xf numFmtId="0" fontId="11" fillId="2" borderId="0" xfId="3" applyFill="1" applyAlignment="1">
      <alignment horizontal="left" wrapText="1"/>
    </xf>
    <xf numFmtId="0" fontId="0" fillId="0" borderId="0" xfId="0" applyAlignment="1">
      <alignment horizontal="center"/>
    </xf>
    <xf numFmtId="164" fontId="0" fillId="0" borderId="0" xfId="0" applyNumberFormat="1"/>
    <xf numFmtId="10" fontId="0" fillId="2" borderId="0" xfId="4" applyNumberFormat="1" applyFont="1" applyFill="1"/>
    <xf numFmtId="3" fontId="0" fillId="0" borderId="0" xfId="1" applyFont="1"/>
    <xf numFmtId="4" fontId="0" fillId="2" borderId="0" xfId="1" applyNumberFormat="1" applyFont="1" applyFill="1"/>
    <xf numFmtId="3" fontId="0" fillId="2" borderId="0" xfId="0" applyNumberFormat="1" applyFill="1"/>
    <xf numFmtId="8" fontId="0" fillId="2" borderId="0" xfId="0" applyNumberFormat="1" applyFill="1"/>
    <xf numFmtId="3" fontId="0" fillId="2" borderId="0" xfId="1" applyFont="1" applyFill="1"/>
    <xf numFmtId="0" fontId="0" fillId="0" borderId="0" xfId="0" applyFill="1"/>
    <xf numFmtId="3" fontId="0" fillId="0" borderId="0" xfId="1" applyFont="1" applyFill="1"/>
    <xf numFmtId="3" fontId="0" fillId="0" borderId="0" xfId="0" applyNumberFormat="1" applyFill="1"/>
    <xf numFmtId="0" fontId="0" fillId="2" borderId="0" xfId="0" applyFill="1" applyAlignment="1">
      <alignment wrapText="1"/>
    </xf>
    <xf numFmtId="165" fontId="0" fillId="0" borderId="0" xfId="2" applyNumberFormat="1" applyFont="1"/>
    <xf numFmtId="9" fontId="6" fillId="0" borderId="0" xfId="0" applyNumberFormat="1" applyFont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41" fontId="0" fillId="0" borderId="0" xfId="2" applyFont="1"/>
    <xf numFmtId="0" fontId="0" fillId="2" borderId="0" xfId="0" applyFill="1" applyAlignment="1">
      <alignment horizontal="left" wrapText="1"/>
    </xf>
    <xf numFmtId="0" fontId="0" fillId="0" borderId="0" xfId="0" applyFill="1" applyAlignment="1">
      <alignment horizontal="left" wrapText="1"/>
    </xf>
    <xf numFmtId="0" fontId="6" fillId="0" borderId="0" xfId="0" applyNumberFormat="1" applyFont="1" applyAlignment="1">
      <alignment horizontal="center"/>
    </xf>
    <xf numFmtId="3" fontId="1" fillId="0" borderId="0" xfId="1"/>
    <xf numFmtId="165" fontId="1" fillId="0" borderId="0" xfId="2" applyNumberFormat="1"/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wrapText="1"/>
    </xf>
    <xf numFmtId="4" fontId="1" fillId="2" borderId="0" xfId="1" applyNumberFormat="1" applyFill="1"/>
    <xf numFmtId="0" fontId="1" fillId="0" borderId="0" xfId="0" applyFont="1"/>
    <xf numFmtId="0" fontId="0" fillId="3" borderId="0" xfId="0" applyFill="1"/>
    <xf numFmtId="3" fontId="0" fillId="3" borderId="0" xfId="1" applyFont="1" applyFill="1"/>
    <xf numFmtId="3" fontId="11" fillId="0" borderId="0" xfId="3" applyNumberFormat="1"/>
    <xf numFmtId="3" fontId="11" fillId="2" borderId="0" xfId="1" applyNumberFormat="1" applyFont="1" applyFill="1"/>
    <xf numFmtId="0" fontId="2" fillId="0" borderId="0" xfId="0" applyFont="1" applyAlignment="1">
      <alignment vertical="center" wrapText="1"/>
    </xf>
    <xf numFmtId="0" fontId="0" fillId="0" borderId="0" xfId="0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/>
    <xf numFmtId="166" fontId="0" fillId="0" borderId="0" xfId="0" applyNumberFormat="1"/>
    <xf numFmtId="20" fontId="0" fillId="0" borderId="0" xfId="0" applyNumberFormat="1"/>
    <xf numFmtId="4" fontId="0" fillId="0" borderId="0" xfId="0" applyNumberFormat="1"/>
    <xf numFmtId="41" fontId="6" fillId="0" borderId="0" xfId="2" applyFont="1"/>
    <xf numFmtId="0" fontId="16" fillId="0" borderId="0" xfId="0" applyFont="1"/>
    <xf numFmtId="41" fontId="16" fillId="0" borderId="0" xfId="2" applyFont="1"/>
    <xf numFmtId="3" fontId="6" fillId="0" borderId="0" xfId="1" applyFont="1"/>
    <xf numFmtId="0" fontId="0" fillId="0" borderId="0" xfId="0" applyAlignment="1">
      <alignment horizontal="left" indent="2"/>
    </xf>
    <xf numFmtId="0" fontId="2" fillId="0" borderId="0" xfId="0" applyFont="1" applyAlignment="1"/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quotePrefix="1"/>
    <xf numFmtId="0" fontId="1" fillId="0" borderId="0" xfId="0" applyFont="1" applyAlignment="1">
      <alignment horizontal="center"/>
    </xf>
    <xf numFmtId="3" fontId="1" fillId="0" borderId="0" xfId="0" applyNumberFormat="1" applyFont="1" applyAlignment="1">
      <alignment horizontal="center"/>
    </xf>
    <xf numFmtId="3" fontId="6" fillId="0" borderId="0" xfId="0" applyNumberFormat="1" applyFont="1" applyAlignment="1">
      <alignment horizontal="center"/>
    </xf>
    <xf numFmtId="10" fontId="1" fillId="0" borderId="0" xfId="4" applyNumberFormat="1" applyFont="1" applyAlignment="1">
      <alignment horizontal="center"/>
    </xf>
    <xf numFmtId="0" fontId="1" fillId="0" borderId="0" xfId="0" applyFont="1" applyAlignment="1">
      <alignment horizontal="center" wrapText="1"/>
    </xf>
    <xf numFmtId="0" fontId="6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10" fontId="6" fillId="0" borderId="0" xfId="0" applyNumberFormat="1" applyFont="1"/>
    <xf numFmtId="0" fontId="1" fillId="0" borderId="0" xfId="5"/>
    <xf numFmtId="0" fontId="6" fillId="0" borderId="0" xfId="5" applyFont="1"/>
    <xf numFmtId="0" fontId="20" fillId="0" borderId="0" xfId="6" quotePrefix="1"/>
    <xf numFmtId="0" fontId="19" fillId="0" borderId="0" xfId="5" applyFont="1" applyAlignment="1">
      <alignment horizontal="center"/>
    </xf>
    <xf numFmtId="0" fontId="19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2" fillId="0" borderId="0" xfId="3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</cellXfs>
  <cellStyles count="7">
    <cellStyle name="Comma" xfId="1" builtinId="3"/>
    <cellStyle name="Comma [0]" xfId="2" builtinId="6"/>
    <cellStyle name="Hyperlink" xfId="6" builtinId="8"/>
    <cellStyle name="Normal" xfId="0" builtinId="0"/>
    <cellStyle name="Normal 2" xfId="5"/>
    <cellStyle name="Normal_dreyers cf" xfId="3"/>
    <cellStyle name="Percent" xfId="4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Haul-It Corp.--Payouts</a:t>
            </a:r>
            <a:r>
              <a:rPr lang="en-US" baseline="0"/>
              <a:t> to Equity Holder</a:t>
            </a:r>
            <a:endParaRPr lang="en-US"/>
          </a:p>
        </c:rich>
      </c:tx>
      <c:layout>
        <c:manualLayout>
          <c:xMode val="edge"/>
          <c:yMode val="edge"/>
          <c:x val="0.15860411198600174"/>
          <c:y val="2.7777777777777801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'Page 522'!$A$3</c:f>
              <c:strCache>
                <c:ptCount val="1"/>
                <c:pt idx="0">
                  <c:v>Repurchases</c:v>
                </c:pt>
              </c:strCache>
            </c:strRef>
          </c:tx>
          <c:cat>
            <c:numRef>
              <c:f>'Page 522'!$B$2:$F$2</c:f>
              <c:numCache>
                <c:formatCode>General</c:formatCode>
                <c:ptCount val="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</c:numCache>
            </c:numRef>
          </c:cat>
          <c:val>
            <c:numRef>
              <c:f>'Page 522'!$B$3:$F$3</c:f>
              <c:numCache>
                <c:formatCode>#,##0</c:formatCode>
                <c:ptCount val="5"/>
                <c:pt idx="0">
                  <c:v>1440000</c:v>
                </c:pt>
                <c:pt idx="1">
                  <c:v>2410000</c:v>
                </c:pt>
                <c:pt idx="2">
                  <c:v>3500000</c:v>
                </c:pt>
                <c:pt idx="3">
                  <c:v>6820000</c:v>
                </c:pt>
                <c:pt idx="4">
                  <c:v>4830000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469D-44FE-94F4-3222C6406520}"/>
            </c:ext>
          </c:extLst>
        </c:ser>
        <c:ser>
          <c:idx val="1"/>
          <c:order val="1"/>
          <c:tx>
            <c:strRef>
              <c:f>'Page 522'!$A$4</c:f>
              <c:strCache>
                <c:ptCount val="1"/>
                <c:pt idx="0">
                  <c:v>Dividends</c:v>
                </c:pt>
              </c:strCache>
            </c:strRef>
          </c:tx>
          <c:cat>
            <c:numRef>
              <c:f>'Page 522'!$B$2:$F$2</c:f>
              <c:numCache>
                <c:formatCode>General</c:formatCode>
                <c:ptCount val="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</c:numCache>
            </c:numRef>
          </c:cat>
          <c:val>
            <c:numRef>
              <c:f>'Page 522'!$B$4:$F$4</c:f>
              <c:numCache>
                <c:formatCode>#,##0</c:formatCode>
                <c:ptCount val="5"/>
                <c:pt idx="0">
                  <c:v>3950000</c:v>
                </c:pt>
                <c:pt idx="1">
                  <c:v>3997000</c:v>
                </c:pt>
                <c:pt idx="2">
                  <c:v>4238000</c:v>
                </c:pt>
                <c:pt idx="3">
                  <c:v>4875000</c:v>
                </c:pt>
                <c:pt idx="4">
                  <c:v>5100000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469D-44FE-94F4-3222C6406520}"/>
            </c:ext>
          </c:extLst>
        </c:ser>
        <c:ser>
          <c:idx val="2"/>
          <c:order val="2"/>
          <c:tx>
            <c:strRef>
              <c:f>'Page 522'!$A$5</c:f>
              <c:strCache>
                <c:ptCount val="1"/>
                <c:pt idx="0">
                  <c:v>Total cash paid to equity holders</c:v>
                </c:pt>
              </c:strCache>
            </c:strRef>
          </c:tx>
          <c:cat>
            <c:numRef>
              <c:f>'Page 522'!$B$2:$F$2</c:f>
              <c:numCache>
                <c:formatCode>General</c:formatCode>
                <c:ptCount val="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</c:numCache>
            </c:numRef>
          </c:cat>
          <c:val>
            <c:numRef>
              <c:f>'Page 522'!$B$5:$F$5</c:f>
              <c:numCache>
                <c:formatCode>#,##0</c:formatCode>
                <c:ptCount val="5"/>
                <c:pt idx="0">
                  <c:v>5390000</c:v>
                </c:pt>
                <c:pt idx="1">
                  <c:v>6407000</c:v>
                </c:pt>
                <c:pt idx="2">
                  <c:v>7738000</c:v>
                </c:pt>
                <c:pt idx="3">
                  <c:v>11695000</c:v>
                </c:pt>
                <c:pt idx="4">
                  <c:v>9930000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469D-44FE-94F4-3222C64065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2654336"/>
        <c:axId val="252655872"/>
      </c:lineChart>
      <c:catAx>
        <c:axId val="2526543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52655872"/>
        <c:crosses val="autoZero"/>
        <c:auto val="1"/>
        <c:lblAlgn val="ctr"/>
        <c:lblOffset val="100"/>
        <c:noMultiLvlLbl val="0"/>
      </c:catAx>
      <c:valAx>
        <c:axId val="252655872"/>
        <c:scaling>
          <c:orientation val="minMax"/>
        </c:scaling>
        <c:delete val="0"/>
        <c:axPos val="l"/>
        <c:numFmt formatCode="#,##0" sourceLinked="1"/>
        <c:majorTickMark val="none"/>
        <c:minorTickMark val="none"/>
        <c:tickLblPos val="nextTo"/>
        <c:crossAx val="2526543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'Page 533'!$A$1:$M$1</c:f>
          <c:strCache>
            <c:ptCount val="1"/>
            <c:pt idx="0">
              <c:v>ANNUALIZED REAL EQUITY RISK PREMIUM, 1900-2010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'Page 533'!$B$3</c:f>
              <c:strCache>
                <c:ptCount val="1"/>
                <c:pt idx="0">
                  <c:v>Geometric
mean%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'Page 533'!$A$4:$A$25</c:f>
              <c:strCache>
                <c:ptCount val="22"/>
                <c:pt idx="0">
                  <c:v>Australia</c:v>
                </c:pt>
                <c:pt idx="1">
                  <c:v>Belgium</c:v>
                </c:pt>
                <c:pt idx="2">
                  <c:v>Canada</c:v>
                </c:pt>
                <c:pt idx="3">
                  <c:v>Denmark</c:v>
                </c:pt>
                <c:pt idx="4">
                  <c:v>Finland</c:v>
                </c:pt>
                <c:pt idx="5">
                  <c:v>France</c:v>
                </c:pt>
                <c:pt idx="6">
                  <c:v>Germany</c:v>
                </c:pt>
                <c:pt idx="7">
                  <c:v>Ireland</c:v>
                </c:pt>
                <c:pt idx="8">
                  <c:v>Italy</c:v>
                </c:pt>
                <c:pt idx="9">
                  <c:v>Japan</c:v>
                </c:pt>
                <c:pt idx="10">
                  <c:v>The Netherland</c:v>
                </c:pt>
                <c:pt idx="11">
                  <c:v>New Zealand</c:v>
                </c:pt>
                <c:pt idx="12">
                  <c:v>Norway</c:v>
                </c:pt>
                <c:pt idx="13">
                  <c:v>South Africa</c:v>
                </c:pt>
                <c:pt idx="14">
                  <c:v>Spain</c:v>
                </c:pt>
                <c:pt idx="15">
                  <c:v>Sweden</c:v>
                </c:pt>
                <c:pt idx="16">
                  <c:v>Switzerland</c:v>
                </c:pt>
                <c:pt idx="17">
                  <c:v>United Kingdom</c:v>
                </c:pt>
                <c:pt idx="18">
                  <c:v>United States</c:v>
                </c:pt>
                <c:pt idx="19">
                  <c:v>Europe</c:v>
                </c:pt>
                <c:pt idx="20">
                  <c:v>World ex-US</c:v>
                </c:pt>
                <c:pt idx="21">
                  <c:v>World</c:v>
                </c:pt>
              </c:strCache>
            </c:strRef>
          </c:cat>
          <c:val>
            <c:numRef>
              <c:f>'Page 533'!$B$4:$B$25</c:f>
              <c:numCache>
                <c:formatCode>0.00%</c:formatCode>
                <c:ptCount val="22"/>
                <c:pt idx="0">
                  <c:v>7.400000000000001E-2</c:v>
                </c:pt>
                <c:pt idx="1">
                  <c:v>2.5000000000000001E-2</c:v>
                </c:pt>
                <c:pt idx="2">
                  <c:v>5.9000000000000004E-2</c:v>
                </c:pt>
                <c:pt idx="3">
                  <c:v>5.0999999999999997E-2</c:v>
                </c:pt>
                <c:pt idx="4">
                  <c:v>5.4000000000000006E-2</c:v>
                </c:pt>
                <c:pt idx="5">
                  <c:v>3.1E-2</c:v>
                </c:pt>
                <c:pt idx="6">
                  <c:v>3.1E-2</c:v>
                </c:pt>
                <c:pt idx="7">
                  <c:v>3.7999999999999999E-2</c:v>
                </c:pt>
                <c:pt idx="8">
                  <c:v>0.02</c:v>
                </c:pt>
                <c:pt idx="9">
                  <c:v>3.7999999999999999E-2</c:v>
                </c:pt>
                <c:pt idx="10">
                  <c:v>0.05</c:v>
                </c:pt>
                <c:pt idx="11">
                  <c:v>5.7999999999999996E-2</c:v>
                </c:pt>
                <c:pt idx="12">
                  <c:v>4.2000000000000003E-2</c:v>
                </c:pt>
                <c:pt idx="13">
                  <c:v>7.2999999999999995E-2</c:v>
                </c:pt>
                <c:pt idx="14">
                  <c:v>3.6000000000000004E-2</c:v>
                </c:pt>
                <c:pt idx="15">
                  <c:v>6.3E-2</c:v>
                </c:pt>
                <c:pt idx="16">
                  <c:v>4.2000000000000003E-2</c:v>
                </c:pt>
                <c:pt idx="17">
                  <c:v>5.2999999999999999E-2</c:v>
                </c:pt>
                <c:pt idx="18">
                  <c:v>6.3E-2</c:v>
                </c:pt>
                <c:pt idx="19">
                  <c:v>4.8000000000000001E-2</c:v>
                </c:pt>
                <c:pt idx="20">
                  <c:v>0.05</c:v>
                </c:pt>
                <c:pt idx="21">
                  <c:v>5.5E-2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57D-4633-B4E3-62EFF97CDD00}"/>
            </c:ext>
          </c:extLst>
        </c:ser>
        <c:ser>
          <c:idx val="1"/>
          <c:order val="1"/>
          <c:tx>
            <c:strRef>
              <c:f>'Page 533'!$C$3</c:f>
              <c:strCache>
                <c:ptCount val="1"/>
                <c:pt idx="0">
                  <c:v>Arithmetic mean%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'Page 533'!$A$4:$A$25</c:f>
              <c:strCache>
                <c:ptCount val="22"/>
                <c:pt idx="0">
                  <c:v>Australia</c:v>
                </c:pt>
                <c:pt idx="1">
                  <c:v>Belgium</c:v>
                </c:pt>
                <c:pt idx="2">
                  <c:v>Canada</c:v>
                </c:pt>
                <c:pt idx="3">
                  <c:v>Denmark</c:v>
                </c:pt>
                <c:pt idx="4">
                  <c:v>Finland</c:v>
                </c:pt>
                <c:pt idx="5">
                  <c:v>France</c:v>
                </c:pt>
                <c:pt idx="6">
                  <c:v>Germany</c:v>
                </c:pt>
                <c:pt idx="7">
                  <c:v>Ireland</c:v>
                </c:pt>
                <c:pt idx="8">
                  <c:v>Italy</c:v>
                </c:pt>
                <c:pt idx="9">
                  <c:v>Japan</c:v>
                </c:pt>
                <c:pt idx="10">
                  <c:v>The Netherland</c:v>
                </c:pt>
                <c:pt idx="11">
                  <c:v>New Zealand</c:v>
                </c:pt>
                <c:pt idx="12">
                  <c:v>Norway</c:v>
                </c:pt>
                <c:pt idx="13">
                  <c:v>South Africa</c:v>
                </c:pt>
                <c:pt idx="14">
                  <c:v>Spain</c:v>
                </c:pt>
                <c:pt idx="15">
                  <c:v>Sweden</c:v>
                </c:pt>
                <c:pt idx="16">
                  <c:v>Switzerland</c:v>
                </c:pt>
                <c:pt idx="17">
                  <c:v>United Kingdom</c:v>
                </c:pt>
                <c:pt idx="18">
                  <c:v>United States</c:v>
                </c:pt>
                <c:pt idx="19">
                  <c:v>Europe</c:v>
                </c:pt>
                <c:pt idx="20">
                  <c:v>World ex-US</c:v>
                </c:pt>
                <c:pt idx="21">
                  <c:v>World</c:v>
                </c:pt>
              </c:strCache>
            </c:strRef>
          </c:cat>
          <c:val>
            <c:numRef>
              <c:f>'Page 533'!$C$4:$C$25</c:f>
              <c:numCache>
                <c:formatCode>0.00%</c:formatCode>
                <c:ptCount val="22"/>
                <c:pt idx="0">
                  <c:v>9.0999999999999998E-2</c:v>
                </c:pt>
                <c:pt idx="1">
                  <c:v>5.0999999999999997E-2</c:v>
                </c:pt>
                <c:pt idx="2">
                  <c:v>7.2999999999999995E-2</c:v>
                </c:pt>
                <c:pt idx="3">
                  <c:v>6.9000000000000006E-2</c:v>
                </c:pt>
                <c:pt idx="4">
                  <c:v>9.3000000000000013E-2</c:v>
                </c:pt>
                <c:pt idx="5">
                  <c:v>5.7000000000000002E-2</c:v>
                </c:pt>
                <c:pt idx="6">
                  <c:v>8.1000000000000003E-2</c:v>
                </c:pt>
                <c:pt idx="7">
                  <c:v>6.4000000000000001E-2</c:v>
                </c:pt>
                <c:pt idx="8">
                  <c:v>6.0999999999999999E-2</c:v>
                </c:pt>
                <c:pt idx="9">
                  <c:v>8.5000000000000006E-2</c:v>
                </c:pt>
                <c:pt idx="10">
                  <c:v>7.0999999999999994E-2</c:v>
                </c:pt>
                <c:pt idx="11">
                  <c:v>7.5999999999999998E-2</c:v>
                </c:pt>
                <c:pt idx="12">
                  <c:v>7.2000000000000008E-2</c:v>
                </c:pt>
                <c:pt idx="13">
                  <c:v>9.5000000000000001E-2</c:v>
                </c:pt>
                <c:pt idx="14">
                  <c:v>5.7999999999999996E-2</c:v>
                </c:pt>
                <c:pt idx="15">
                  <c:v>8.6999999999999994E-2</c:v>
                </c:pt>
                <c:pt idx="16">
                  <c:v>6.0999999999999999E-2</c:v>
                </c:pt>
                <c:pt idx="17">
                  <c:v>7.2000000000000008E-2</c:v>
                </c:pt>
                <c:pt idx="18">
                  <c:v>8.3000000000000004E-2</c:v>
                </c:pt>
                <c:pt idx="19">
                  <c:v>6.9000000000000006E-2</c:v>
                </c:pt>
                <c:pt idx="20">
                  <c:v>7.0000000000000007E-2</c:v>
                </c:pt>
                <c:pt idx="21">
                  <c:v>7.0000000000000007E-2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857D-4633-B4E3-62EFF97CDD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52832768"/>
        <c:axId val="253891328"/>
      </c:barChart>
      <c:catAx>
        <c:axId val="252832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3891328"/>
        <c:crosses val="autoZero"/>
        <c:auto val="1"/>
        <c:lblAlgn val="ctr"/>
        <c:lblOffset val="100"/>
        <c:noMultiLvlLbl val="0"/>
      </c:catAx>
      <c:valAx>
        <c:axId val="253891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2832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455295</xdr:colOff>
      <xdr:row>1</xdr:row>
      <xdr:rowOff>49530</xdr:rowOff>
    </xdr:from>
    <xdr:to>
      <xdr:col>7</xdr:col>
      <xdr:colOff>188595</xdr:colOff>
      <xdr:row>11</xdr:row>
      <xdr:rowOff>139065</xdr:rowOff>
    </xdr:to>
    <xdr:sp macro="" textlink="">
      <xdr:nvSpPr>
        <xdr:cNvPr id="7169" name="AutoShape 1">
          <a:extLst>
            <a:ext uri="{FF2B5EF4-FFF2-40B4-BE49-F238E27FC236}">
              <a16:creationId xmlns:a16="http://schemas.microsoft.com/office/drawing/2014/main" xmlns="" id="{00000000-0008-0000-0000-0000011C0000}"/>
            </a:ext>
          </a:extLst>
        </xdr:cNvPr>
        <xdr:cNvSpPr>
          <a:spLocks noChangeArrowheads="1"/>
        </xdr:cNvSpPr>
      </xdr:nvSpPr>
      <xdr:spPr bwMode="auto">
        <a:xfrm>
          <a:off x="1064895" y="205740"/>
          <a:ext cx="3390900" cy="1651635"/>
        </a:xfrm>
        <a:prstGeom prst="hexagon">
          <a:avLst>
            <a:gd name="adj" fmla="val 49444"/>
            <a:gd name="vf" fmla="val 11547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ABC HOLDING COMPANY</a:t>
          </a:r>
        </a:p>
        <a:p>
          <a:pPr algn="ctr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Owns:</a:t>
          </a:r>
        </a:p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  60% of XYZ Widgets</a:t>
          </a:r>
        </a:p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  50% of QRM Smidgets</a:t>
          </a:r>
        </a:p>
        <a:p>
          <a:pPr algn="ctr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ABC has 30,000 shares outstanding</a:t>
          </a:r>
        </a:p>
        <a:p>
          <a:pPr algn="ctr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112395</xdr:colOff>
      <xdr:row>14</xdr:row>
      <xdr:rowOff>139065</xdr:rowOff>
    </xdr:from>
    <xdr:to>
      <xdr:col>3</xdr:col>
      <xdr:colOff>569595</xdr:colOff>
      <xdr:row>18</xdr:row>
      <xdr:rowOff>125730</xdr:rowOff>
    </xdr:to>
    <xdr:sp macro="" textlink="">
      <xdr:nvSpPr>
        <xdr:cNvPr id="7170" name="AutoShape 2">
          <a:extLst>
            <a:ext uri="{FF2B5EF4-FFF2-40B4-BE49-F238E27FC236}">
              <a16:creationId xmlns:a16="http://schemas.microsoft.com/office/drawing/2014/main" xmlns="" id="{00000000-0008-0000-0000-0000021C0000}"/>
            </a:ext>
          </a:extLst>
        </xdr:cNvPr>
        <xdr:cNvSpPr>
          <a:spLocks noChangeArrowheads="1"/>
        </xdr:cNvSpPr>
      </xdr:nvSpPr>
      <xdr:spPr bwMode="auto">
        <a:xfrm>
          <a:off x="112395" y="2326005"/>
          <a:ext cx="2286000" cy="61150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XYZ Widgets</a:t>
          </a:r>
        </a:p>
        <a:p>
          <a:pPr algn="ctr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Market value of shares:  $1,000,000</a:t>
          </a:r>
        </a:p>
      </xdr:txBody>
    </xdr:sp>
    <xdr:clientData/>
  </xdr:twoCellAnchor>
  <xdr:twoCellAnchor>
    <xdr:from>
      <xdr:col>5</xdr:col>
      <xdr:colOff>55245</xdr:colOff>
      <xdr:row>14</xdr:row>
      <xdr:rowOff>148590</xdr:rowOff>
    </xdr:from>
    <xdr:to>
      <xdr:col>8</xdr:col>
      <xdr:colOff>512445</xdr:colOff>
      <xdr:row>18</xdr:row>
      <xdr:rowOff>116205</xdr:rowOff>
    </xdr:to>
    <xdr:sp macro="" textlink="">
      <xdr:nvSpPr>
        <xdr:cNvPr id="7171" name="AutoShape 3">
          <a:extLst>
            <a:ext uri="{FF2B5EF4-FFF2-40B4-BE49-F238E27FC236}">
              <a16:creationId xmlns:a16="http://schemas.microsoft.com/office/drawing/2014/main" xmlns="" id="{00000000-0008-0000-0000-0000031C0000}"/>
            </a:ext>
          </a:extLst>
        </xdr:cNvPr>
        <xdr:cNvSpPr>
          <a:spLocks noChangeArrowheads="1"/>
        </xdr:cNvSpPr>
      </xdr:nvSpPr>
      <xdr:spPr bwMode="auto">
        <a:xfrm>
          <a:off x="3103245" y="2335530"/>
          <a:ext cx="2286000" cy="59245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QRM Smidgets</a:t>
          </a:r>
        </a:p>
        <a:p>
          <a:pPr algn="ctr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Market value of shares:  $875,000</a:t>
          </a:r>
        </a:p>
      </xdr:txBody>
    </xdr:sp>
    <xdr:clientData/>
  </xdr:twoCellAnchor>
  <xdr:twoCellAnchor>
    <xdr:from>
      <xdr:col>2</xdr:col>
      <xdr:colOff>493395</xdr:colOff>
      <xdr:row>11</xdr:row>
      <xdr:rowOff>139065</xdr:rowOff>
    </xdr:from>
    <xdr:to>
      <xdr:col>3</xdr:col>
      <xdr:colOff>293370</xdr:colOff>
      <xdr:row>14</xdr:row>
      <xdr:rowOff>125730</xdr:rowOff>
    </xdr:to>
    <xdr:sp macro="" textlink="">
      <xdr:nvSpPr>
        <xdr:cNvPr id="7172" name="Line 4">
          <a:extLst>
            <a:ext uri="{FF2B5EF4-FFF2-40B4-BE49-F238E27FC236}">
              <a16:creationId xmlns:a16="http://schemas.microsoft.com/office/drawing/2014/main" xmlns="" id="{00000000-0008-0000-0000-0000041C0000}"/>
            </a:ext>
          </a:extLst>
        </xdr:cNvPr>
        <xdr:cNvSpPr>
          <a:spLocks noChangeShapeType="1"/>
        </xdr:cNvSpPr>
      </xdr:nvSpPr>
      <xdr:spPr bwMode="auto">
        <a:xfrm flipH="1">
          <a:off x="1712595" y="1857375"/>
          <a:ext cx="409575" cy="45529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5</xdr:col>
      <xdr:colOff>179070</xdr:colOff>
      <xdr:row>12</xdr:row>
      <xdr:rowOff>1905</xdr:rowOff>
    </xdr:from>
    <xdr:to>
      <xdr:col>5</xdr:col>
      <xdr:colOff>521970</xdr:colOff>
      <xdr:row>14</xdr:row>
      <xdr:rowOff>106680</xdr:rowOff>
    </xdr:to>
    <xdr:sp macro="" textlink="">
      <xdr:nvSpPr>
        <xdr:cNvPr id="7173" name="Line 5">
          <a:extLst>
            <a:ext uri="{FF2B5EF4-FFF2-40B4-BE49-F238E27FC236}">
              <a16:creationId xmlns:a16="http://schemas.microsoft.com/office/drawing/2014/main" xmlns="" id="{00000000-0008-0000-0000-0000051C0000}"/>
            </a:ext>
          </a:extLst>
        </xdr:cNvPr>
        <xdr:cNvSpPr>
          <a:spLocks noChangeShapeType="1"/>
        </xdr:cNvSpPr>
      </xdr:nvSpPr>
      <xdr:spPr bwMode="auto">
        <a:xfrm>
          <a:off x="3227070" y="1876425"/>
          <a:ext cx="342900" cy="41719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8</xdr:row>
          <xdr:rowOff>9525</xdr:rowOff>
        </xdr:from>
        <xdr:to>
          <xdr:col>1</xdr:col>
          <xdr:colOff>2286000</xdr:colOff>
          <xdr:row>12</xdr:row>
          <xdr:rowOff>114300</xdr:rowOff>
        </xdr:to>
        <xdr:sp macro="" textlink="">
          <xdr:nvSpPr>
            <xdr:cNvPr id="5148" name="Object 28" hidden="1">
              <a:extLst>
                <a:ext uri="{63B3BB69-23CF-44E3-9099-C40C66FF867C}">
                  <a14:compatExt spid="_x0000_s5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15</xdr:row>
          <xdr:rowOff>428625</xdr:rowOff>
        </xdr:from>
        <xdr:to>
          <xdr:col>1</xdr:col>
          <xdr:colOff>2324100</xdr:colOff>
          <xdr:row>15</xdr:row>
          <xdr:rowOff>952500</xdr:rowOff>
        </xdr:to>
        <xdr:sp macro="" textlink="">
          <xdr:nvSpPr>
            <xdr:cNvPr id="5150" name="Object 30" hidden="1">
              <a:extLst>
                <a:ext uri="{63B3BB69-23CF-44E3-9099-C40C66FF867C}">
                  <a14:compatExt spid="_x0000_s5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15</xdr:row>
          <xdr:rowOff>390525</xdr:rowOff>
        </xdr:from>
        <xdr:to>
          <xdr:col>3</xdr:col>
          <xdr:colOff>3362325</xdr:colOff>
          <xdr:row>15</xdr:row>
          <xdr:rowOff>1104900</xdr:rowOff>
        </xdr:to>
        <xdr:sp macro="" textlink="">
          <xdr:nvSpPr>
            <xdr:cNvPr id="5151" name="Object 31" hidden="1">
              <a:extLst>
                <a:ext uri="{63B3BB69-23CF-44E3-9099-C40C66FF867C}">
                  <a14:compatExt spid="_x0000_s5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18</xdr:row>
          <xdr:rowOff>495300</xdr:rowOff>
        </xdr:from>
        <xdr:to>
          <xdr:col>2</xdr:col>
          <xdr:colOff>581025</xdr:colOff>
          <xdr:row>18</xdr:row>
          <xdr:rowOff>666750</xdr:rowOff>
        </xdr:to>
        <xdr:sp macro="" textlink="">
          <xdr:nvSpPr>
            <xdr:cNvPr id="5152" name="Object 32" hidden="1">
              <a:extLst>
                <a:ext uri="{63B3BB69-23CF-44E3-9099-C40C66FF867C}">
                  <a14:compatExt spid="_x0000_s5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21</xdr:row>
          <xdr:rowOff>400050</xdr:rowOff>
        </xdr:from>
        <xdr:to>
          <xdr:col>2</xdr:col>
          <xdr:colOff>552450</xdr:colOff>
          <xdr:row>21</xdr:row>
          <xdr:rowOff>609600</xdr:rowOff>
        </xdr:to>
        <xdr:sp macro="" textlink="">
          <xdr:nvSpPr>
            <xdr:cNvPr id="5153" name="Object 33" hidden="1">
              <a:extLst>
                <a:ext uri="{63B3BB69-23CF-44E3-9099-C40C66FF867C}">
                  <a14:compatExt spid="_x0000_s5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24</xdr:row>
          <xdr:rowOff>342900</xdr:rowOff>
        </xdr:from>
        <xdr:to>
          <xdr:col>1</xdr:col>
          <xdr:colOff>2228850</xdr:colOff>
          <xdr:row>24</xdr:row>
          <xdr:rowOff>771525</xdr:rowOff>
        </xdr:to>
        <xdr:sp macro="" textlink="">
          <xdr:nvSpPr>
            <xdr:cNvPr id="5154" name="Object 34" hidden="1">
              <a:extLst>
                <a:ext uri="{63B3BB69-23CF-44E3-9099-C40C66FF867C}">
                  <a14:compatExt spid="_x0000_s5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1060823</xdr:colOff>
      <xdr:row>22</xdr:row>
      <xdr:rowOff>37353</xdr:rowOff>
    </xdr:from>
    <xdr:to>
      <xdr:col>1</xdr:col>
      <xdr:colOff>1210235</xdr:colOff>
      <xdr:row>23</xdr:row>
      <xdr:rowOff>134471</xdr:rowOff>
    </xdr:to>
    <xdr:sp macro="" textlink="">
      <xdr:nvSpPr>
        <xdr:cNvPr id="5" name="Down Arrow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/>
      </xdr:nvSpPr>
      <xdr:spPr bwMode="auto">
        <a:xfrm>
          <a:off x="1232647" y="6902824"/>
          <a:ext cx="149412" cy="254000"/>
        </a:xfrm>
        <a:prstGeom prst="downArrow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1060823</xdr:colOff>
      <xdr:row>19</xdr:row>
      <xdr:rowOff>47804</xdr:rowOff>
    </xdr:from>
    <xdr:to>
      <xdr:col>1</xdr:col>
      <xdr:colOff>1210235</xdr:colOff>
      <xdr:row>20</xdr:row>
      <xdr:rowOff>144922</xdr:rowOff>
    </xdr:to>
    <xdr:sp macro="" textlink="">
      <xdr:nvSpPr>
        <xdr:cNvPr id="31" name="Down Arrow 30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/>
      </xdr:nvSpPr>
      <xdr:spPr bwMode="auto">
        <a:xfrm>
          <a:off x="1232647" y="5792686"/>
          <a:ext cx="149412" cy="254001"/>
        </a:xfrm>
        <a:prstGeom prst="downArrow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1060823</xdr:colOff>
      <xdr:row>16</xdr:row>
      <xdr:rowOff>35853</xdr:rowOff>
    </xdr:from>
    <xdr:to>
      <xdr:col>1</xdr:col>
      <xdr:colOff>1210235</xdr:colOff>
      <xdr:row>17</xdr:row>
      <xdr:rowOff>132970</xdr:rowOff>
    </xdr:to>
    <xdr:sp macro="" textlink="">
      <xdr:nvSpPr>
        <xdr:cNvPr id="32" name="Down Arrow 31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/>
      </xdr:nvSpPr>
      <xdr:spPr bwMode="auto">
        <a:xfrm>
          <a:off x="1232647" y="4660147"/>
          <a:ext cx="149412" cy="253999"/>
        </a:xfrm>
        <a:prstGeom prst="downArrow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1060823</xdr:colOff>
      <xdr:row>13</xdr:row>
      <xdr:rowOff>23894</xdr:rowOff>
    </xdr:from>
    <xdr:to>
      <xdr:col>1</xdr:col>
      <xdr:colOff>1210235</xdr:colOff>
      <xdr:row>14</xdr:row>
      <xdr:rowOff>121012</xdr:rowOff>
    </xdr:to>
    <xdr:sp macro="" textlink="">
      <xdr:nvSpPr>
        <xdr:cNvPr id="33" name="Down Arrow 32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/>
      </xdr:nvSpPr>
      <xdr:spPr bwMode="auto">
        <a:xfrm>
          <a:off x="1232647" y="2728247"/>
          <a:ext cx="149412" cy="254000"/>
        </a:xfrm>
        <a:prstGeom prst="downArrow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1060823</xdr:colOff>
      <xdr:row>5</xdr:row>
      <xdr:rowOff>34348</xdr:rowOff>
    </xdr:from>
    <xdr:to>
      <xdr:col>1</xdr:col>
      <xdr:colOff>1210235</xdr:colOff>
      <xdr:row>6</xdr:row>
      <xdr:rowOff>131466</xdr:rowOff>
    </xdr:to>
    <xdr:sp macro="" textlink="">
      <xdr:nvSpPr>
        <xdr:cNvPr id="34" name="Down Arrow 33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/>
      </xdr:nvSpPr>
      <xdr:spPr bwMode="auto">
        <a:xfrm>
          <a:off x="1232647" y="1304348"/>
          <a:ext cx="149412" cy="254000"/>
        </a:xfrm>
        <a:prstGeom prst="downArrow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2312680</xdr:colOff>
      <xdr:row>10</xdr:row>
      <xdr:rowOff>156020</xdr:rowOff>
    </xdr:from>
    <xdr:to>
      <xdr:col>3</xdr:col>
      <xdr:colOff>1251126</xdr:colOff>
      <xdr:row>12</xdr:row>
      <xdr:rowOff>15225</xdr:rowOff>
    </xdr:to>
    <xdr:sp macro="" textlink="">
      <xdr:nvSpPr>
        <xdr:cNvPr id="35" name="Down Arrow 3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/>
      </xdr:nvSpPr>
      <xdr:spPr bwMode="auto">
        <a:xfrm rot="-3480000">
          <a:off x="3432330" y="1494193"/>
          <a:ext cx="172970" cy="1949093"/>
        </a:xfrm>
        <a:prstGeom prst="downArrow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543583</xdr:colOff>
      <xdr:row>17</xdr:row>
      <xdr:rowOff>94734</xdr:rowOff>
    </xdr:from>
    <xdr:to>
      <xdr:col>3</xdr:col>
      <xdr:colOff>1136283</xdr:colOff>
      <xdr:row>18</xdr:row>
      <xdr:rowOff>117388</xdr:rowOff>
    </xdr:to>
    <xdr:sp macro="" textlink="">
      <xdr:nvSpPr>
        <xdr:cNvPr id="14" name="Down Arrow 34">
          <a:extLst>
            <a:ext uri="{FF2B5EF4-FFF2-40B4-BE49-F238E27FC236}">
              <a16:creationId xmlns:a16="http://schemas.microsoft.com/office/drawing/2014/main" xmlns="" id="{64FD1558-C0D2-45C2-BF5C-6118D57FEC81}"/>
            </a:ext>
          </a:extLst>
        </xdr:cNvPr>
        <xdr:cNvSpPr/>
      </xdr:nvSpPr>
      <xdr:spPr bwMode="auto">
        <a:xfrm rot="3480000" flipH="1">
          <a:off x="3580770" y="4287582"/>
          <a:ext cx="184019" cy="1202300"/>
        </a:xfrm>
        <a:prstGeom prst="downArrow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9</xdr:row>
      <xdr:rowOff>38100</xdr:rowOff>
    </xdr:from>
    <xdr:to>
      <xdr:col>3</xdr:col>
      <xdr:colOff>295275</xdr:colOff>
      <xdr:row>12</xdr:row>
      <xdr:rowOff>9525</xdr:rowOff>
    </xdr:to>
    <xdr:sp macro="" textlink="">
      <xdr:nvSpPr>
        <xdr:cNvPr id="8193" name="Line 1">
          <a:extLst>
            <a:ext uri="{FF2B5EF4-FFF2-40B4-BE49-F238E27FC236}">
              <a16:creationId xmlns:a16="http://schemas.microsoft.com/office/drawing/2014/main" xmlns="" id="{00000000-0008-0000-0600-000001200000}"/>
            </a:ext>
          </a:extLst>
        </xdr:cNvPr>
        <xdr:cNvSpPr>
          <a:spLocks noChangeShapeType="1"/>
        </xdr:cNvSpPr>
      </xdr:nvSpPr>
      <xdr:spPr bwMode="auto">
        <a:xfrm flipH="1">
          <a:off x="3457575" y="1562100"/>
          <a:ext cx="1628775" cy="457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</xdr:col>
      <xdr:colOff>704850</xdr:colOff>
      <xdr:row>15</xdr:row>
      <xdr:rowOff>95250</xdr:rowOff>
    </xdr:from>
    <xdr:to>
      <xdr:col>4</xdr:col>
      <xdr:colOff>19050</xdr:colOff>
      <xdr:row>19</xdr:row>
      <xdr:rowOff>76200</xdr:rowOff>
    </xdr:to>
    <xdr:sp macro="" textlink="">
      <xdr:nvSpPr>
        <xdr:cNvPr id="8194" name="Line 2">
          <a:extLst>
            <a:ext uri="{FF2B5EF4-FFF2-40B4-BE49-F238E27FC236}">
              <a16:creationId xmlns:a16="http://schemas.microsoft.com/office/drawing/2014/main" xmlns="" id="{00000000-0008-0000-0600-000002200000}"/>
            </a:ext>
          </a:extLst>
        </xdr:cNvPr>
        <xdr:cNvSpPr>
          <a:spLocks noChangeShapeType="1"/>
        </xdr:cNvSpPr>
      </xdr:nvSpPr>
      <xdr:spPr bwMode="auto">
        <a:xfrm flipH="1">
          <a:off x="4133850" y="2590800"/>
          <a:ext cx="981075" cy="628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</xdr:col>
      <xdr:colOff>723900</xdr:colOff>
      <xdr:row>13</xdr:row>
      <xdr:rowOff>85725</xdr:rowOff>
    </xdr:from>
    <xdr:to>
      <xdr:col>4</xdr:col>
      <xdr:colOff>9525</xdr:colOff>
      <xdr:row>18</xdr:row>
      <xdr:rowOff>28575</xdr:rowOff>
    </xdr:to>
    <xdr:sp macro="" textlink="">
      <xdr:nvSpPr>
        <xdr:cNvPr id="8195" name="Line 3">
          <a:extLst>
            <a:ext uri="{FF2B5EF4-FFF2-40B4-BE49-F238E27FC236}">
              <a16:creationId xmlns:a16="http://schemas.microsoft.com/office/drawing/2014/main" xmlns="" id="{00000000-0008-0000-0600-000003200000}"/>
            </a:ext>
          </a:extLst>
        </xdr:cNvPr>
        <xdr:cNvSpPr>
          <a:spLocks noChangeShapeType="1"/>
        </xdr:cNvSpPr>
      </xdr:nvSpPr>
      <xdr:spPr bwMode="auto">
        <a:xfrm flipH="1">
          <a:off x="4152900" y="2257425"/>
          <a:ext cx="952500" cy="752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695325</xdr:colOff>
      <xdr:row>26</xdr:row>
      <xdr:rowOff>38100</xdr:rowOff>
    </xdr:from>
    <xdr:to>
      <xdr:col>0</xdr:col>
      <xdr:colOff>1171575</xdr:colOff>
      <xdr:row>27</xdr:row>
      <xdr:rowOff>76200</xdr:rowOff>
    </xdr:to>
    <xdr:sp macro="" textlink="">
      <xdr:nvSpPr>
        <xdr:cNvPr id="9217" name="Text Box 1">
          <a:extLst>
            <a:ext uri="{FF2B5EF4-FFF2-40B4-BE49-F238E27FC236}">
              <a16:creationId xmlns:a16="http://schemas.microsoft.com/office/drawing/2014/main" xmlns="" id="{00000000-0008-0000-0700-000001240000}"/>
            </a:ext>
          </a:extLst>
        </xdr:cNvPr>
        <xdr:cNvSpPr txBox="1">
          <a:spLocks noChangeArrowheads="1"/>
        </xdr:cNvSpPr>
      </xdr:nvSpPr>
      <xdr:spPr bwMode="auto">
        <a:xfrm>
          <a:off x="695325" y="4981575"/>
          <a:ext cx="476250" cy="2000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=B23</a:t>
          </a:r>
        </a:p>
      </xdr:txBody>
    </xdr:sp>
    <xdr:clientData/>
  </xdr:twoCellAnchor>
  <xdr:twoCellAnchor>
    <xdr:from>
      <xdr:col>0</xdr:col>
      <xdr:colOff>1238250</xdr:colOff>
      <xdr:row>27</xdr:row>
      <xdr:rowOff>0</xdr:rowOff>
    </xdr:from>
    <xdr:to>
      <xdr:col>1</xdr:col>
      <xdr:colOff>381000</xdr:colOff>
      <xdr:row>27</xdr:row>
      <xdr:rowOff>85725</xdr:rowOff>
    </xdr:to>
    <xdr:sp macro="" textlink="">
      <xdr:nvSpPr>
        <xdr:cNvPr id="9218" name="Line 2">
          <a:extLst>
            <a:ext uri="{FF2B5EF4-FFF2-40B4-BE49-F238E27FC236}">
              <a16:creationId xmlns:a16="http://schemas.microsoft.com/office/drawing/2014/main" xmlns="" id="{00000000-0008-0000-0700-000002240000}"/>
            </a:ext>
          </a:extLst>
        </xdr:cNvPr>
        <xdr:cNvSpPr>
          <a:spLocks noChangeShapeType="1"/>
        </xdr:cNvSpPr>
      </xdr:nvSpPr>
      <xdr:spPr bwMode="auto">
        <a:xfrm>
          <a:off x="1238250" y="5105400"/>
          <a:ext cx="1114425" cy="85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695325</xdr:colOff>
      <xdr:row>26</xdr:row>
      <xdr:rowOff>38100</xdr:rowOff>
    </xdr:from>
    <xdr:to>
      <xdr:col>0</xdr:col>
      <xdr:colOff>1171575</xdr:colOff>
      <xdr:row>27</xdr:row>
      <xdr:rowOff>104775</xdr:rowOff>
    </xdr:to>
    <xdr:sp macro="" textlink="">
      <xdr:nvSpPr>
        <xdr:cNvPr id="10241" name="Text Box 1">
          <a:extLst>
            <a:ext uri="{FF2B5EF4-FFF2-40B4-BE49-F238E27FC236}">
              <a16:creationId xmlns:a16="http://schemas.microsoft.com/office/drawing/2014/main" xmlns="" id="{00000000-0008-0000-0800-000001280000}"/>
            </a:ext>
          </a:extLst>
        </xdr:cNvPr>
        <xdr:cNvSpPr txBox="1">
          <a:spLocks noChangeArrowheads="1"/>
        </xdr:cNvSpPr>
      </xdr:nvSpPr>
      <xdr:spPr bwMode="auto">
        <a:xfrm>
          <a:off x="695325" y="4981575"/>
          <a:ext cx="476250" cy="2286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=B23</a:t>
          </a:r>
        </a:p>
      </xdr:txBody>
    </xdr:sp>
    <xdr:clientData/>
  </xdr:twoCellAnchor>
  <xdr:twoCellAnchor>
    <xdr:from>
      <xdr:col>0</xdr:col>
      <xdr:colOff>1238250</xdr:colOff>
      <xdr:row>27</xdr:row>
      <xdr:rowOff>0</xdr:rowOff>
    </xdr:from>
    <xdr:to>
      <xdr:col>1</xdr:col>
      <xdr:colOff>381000</xdr:colOff>
      <xdr:row>27</xdr:row>
      <xdr:rowOff>85725</xdr:rowOff>
    </xdr:to>
    <xdr:sp macro="" textlink="">
      <xdr:nvSpPr>
        <xdr:cNvPr id="10242" name="Line 2">
          <a:extLst>
            <a:ext uri="{FF2B5EF4-FFF2-40B4-BE49-F238E27FC236}">
              <a16:creationId xmlns:a16="http://schemas.microsoft.com/office/drawing/2014/main" xmlns="" id="{00000000-0008-0000-0800-000002280000}"/>
            </a:ext>
          </a:extLst>
        </xdr:cNvPr>
        <xdr:cNvSpPr>
          <a:spLocks noChangeShapeType="1"/>
        </xdr:cNvSpPr>
      </xdr:nvSpPr>
      <xdr:spPr bwMode="auto">
        <a:xfrm>
          <a:off x="1238250" y="5105400"/>
          <a:ext cx="1114425" cy="85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17</xdr:row>
      <xdr:rowOff>38101</xdr:rowOff>
    </xdr:from>
    <xdr:to>
      <xdr:col>5</xdr:col>
      <xdr:colOff>787400</xdr:colOff>
      <xdr:row>36</xdr:row>
      <xdr:rowOff>107951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120648</xdr:colOff>
      <xdr:row>2</xdr:row>
      <xdr:rowOff>42332</xdr:rowOff>
    </xdr:from>
    <xdr:to>
      <xdr:col>12</xdr:col>
      <xdr:colOff>584200</xdr:colOff>
      <xdr:row>25</xdr:row>
      <xdr:rowOff>114300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F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3.bin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oleObject" Target="../embeddings/oleObject5.bin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oleObject" Target="../embeddings/oleObject2.bin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oleObject" Target="../embeddings/oleObject4.bin"/><Relationship Id="rId4" Type="http://schemas.openxmlformats.org/officeDocument/2006/relationships/oleObject" Target="../embeddings/oleObject1.bin"/><Relationship Id="rId9" Type="http://schemas.openxmlformats.org/officeDocument/2006/relationships/image" Target="../media/image3.emf"/><Relationship Id="rId14" Type="http://schemas.openxmlformats.org/officeDocument/2006/relationships/oleObject" Target="../embeddings/oleObject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tabSelected="1" workbookViewId="0">
      <selection activeCell="A3" sqref="A3"/>
    </sheetView>
  </sheetViews>
  <sheetFormatPr defaultColWidth="8.85546875" defaultRowHeight="12.75" x14ac:dyDescent="0.2"/>
  <cols>
    <col min="1" max="1" width="14.42578125" style="96" bestFit="1" customWidth="1"/>
    <col min="2" max="2" width="104" style="96" bestFit="1" customWidth="1"/>
    <col min="3" max="16384" width="8.85546875" style="96"/>
  </cols>
  <sheetData>
    <row r="1" spans="1:2" ht="15" x14ac:dyDescent="0.25">
      <c r="A1" s="99" t="s">
        <v>469</v>
      </c>
      <c r="B1" s="99"/>
    </row>
    <row r="2" spans="1:2" x14ac:dyDescent="0.2">
      <c r="A2" s="97" t="s">
        <v>450</v>
      </c>
      <c r="B2" s="97" t="s">
        <v>451</v>
      </c>
    </row>
    <row r="3" spans="1:2" x14ac:dyDescent="0.2">
      <c r="A3" s="98" t="s">
        <v>452</v>
      </c>
      <c r="B3" s="96" t="str">
        <f ca="1">INDIRECT(ADDRESS(1,1,1,1,A3))</f>
        <v>FIRGURE 16.1 - OWNERSHIP STRUCTURE OF ABC HOLDING COMPANY</v>
      </c>
    </row>
    <row r="4" spans="1:2" x14ac:dyDescent="0.2">
      <c r="A4" s="98" t="s">
        <v>453</v>
      </c>
      <c r="B4" s="96" t="str">
        <f t="shared" ref="B4:B19" ca="1" si="0">INDIRECT(ADDRESS(1,1,1,1,A4))</f>
        <v>ABC HOLDING COMPANY</v>
      </c>
    </row>
    <row r="5" spans="1:2" x14ac:dyDescent="0.2">
      <c r="A5" s="98" t="s">
        <v>454</v>
      </c>
      <c r="B5" s="96" t="str">
        <f t="shared" ca="1" si="0"/>
        <v>ABC HOLDING COMPANY</v>
      </c>
    </row>
    <row r="6" spans="1:2" x14ac:dyDescent="0.2">
      <c r="A6" s="98" t="s">
        <v>455</v>
      </c>
      <c r="B6" s="96" t="str">
        <f t="shared" ca="1" si="0"/>
        <v>CALCULATING THE FIRM'S SHARE VALUE FROM THE FREE CASH FLOWS AND WACC</v>
      </c>
    </row>
    <row r="7" spans="1:2" x14ac:dyDescent="0.2">
      <c r="A7" s="98" t="s">
        <v>456</v>
      </c>
      <c r="B7" s="96" t="str">
        <f t="shared" ca="1" si="0"/>
        <v>VALUING ARNOLD CORP</v>
      </c>
    </row>
    <row r="8" spans="1:2" x14ac:dyDescent="0.2">
      <c r="A8" s="98" t="s">
        <v>457</v>
      </c>
      <c r="B8" s="96" t="str">
        <f t="shared" ca="1" si="0"/>
        <v>VALUING XANTHOM CORP.</v>
      </c>
    </row>
    <row r="9" spans="1:2" x14ac:dyDescent="0.2">
      <c r="A9" s="98" t="s">
        <v>458</v>
      </c>
      <c r="B9" s="96" t="str">
        <f t="shared" ca="1" si="0"/>
        <v>STATION BUILDING PARTNERSHIP--SHARE VALUATION</v>
      </c>
    </row>
    <row r="10" spans="1:2" x14ac:dyDescent="0.2">
      <c r="A10" s="98" t="s">
        <v>459</v>
      </c>
      <c r="B10" s="96" t="str">
        <f t="shared" ca="1" si="0"/>
        <v>FORMANIS CORPORATION</v>
      </c>
    </row>
    <row r="11" spans="1:2" x14ac:dyDescent="0.2">
      <c r="A11" s="98" t="s">
        <v>460</v>
      </c>
      <c r="B11" s="96" t="str">
        <f t="shared" ca="1" si="0"/>
        <v>FORMANIS CORPORATION</v>
      </c>
    </row>
    <row r="12" spans="1:2" x14ac:dyDescent="0.2">
      <c r="A12" s="98" t="s">
        <v>461</v>
      </c>
      <c r="B12" s="96" t="str">
        <f t="shared" ca="1" si="0"/>
        <v>HAUL-IT CORPORATION--EQUITY PAYOUT 
HISTORY AND SHARE VALUATION</v>
      </c>
    </row>
    <row r="13" spans="1:2" x14ac:dyDescent="0.2">
      <c r="A13" s="98" t="s">
        <v>462</v>
      </c>
      <c r="B13" s="96" t="str">
        <f t="shared" ca="1" si="0"/>
        <v>SHOES FOR LESS (SFL) AND LESSER SHOES (LS)
comparing P/E ratios</v>
      </c>
    </row>
    <row r="14" spans="1:2" x14ac:dyDescent="0.2">
      <c r="A14" s="98" t="s">
        <v>463</v>
      </c>
      <c r="B14" s="96" t="str">
        <f t="shared" ca="1" si="0"/>
        <v>SAFEWAY (SWY) AND KROGER (KR)--COMPARISON BASED ON MULTIPLES
Based on Yahoo Profiles, 27 October 2014</v>
      </c>
    </row>
    <row r="15" spans="1:2" x14ac:dyDescent="0.2">
      <c r="A15" s="98" t="s">
        <v>464</v>
      </c>
      <c r="B15" s="96" t="str">
        <f t="shared" ca="1" si="0"/>
        <v>TARGET CORPORATION</v>
      </c>
    </row>
    <row r="16" spans="1:2" x14ac:dyDescent="0.2">
      <c r="A16" s="98" t="s">
        <v>465</v>
      </c>
      <c r="B16" s="96" t="str">
        <f t="shared" ca="1" si="0"/>
        <v>TARGET CORP.'S WACC USING SML FOR COST OF EQUITY</v>
      </c>
    </row>
    <row r="17" spans="1:2" x14ac:dyDescent="0.2">
      <c r="A17" s="98" t="s">
        <v>466</v>
      </c>
      <c r="B17" s="96" t="str">
        <f t="shared" ca="1" si="0"/>
        <v>ESTIMATING E(rM) USING THE P/E RATIO</v>
      </c>
    </row>
    <row r="18" spans="1:2" x14ac:dyDescent="0.2">
      <c r="A18" s="98" t="s">
        <v>467</v>
      </c>
      <c r="B18" s="96" t="str">
        <f t="shared" ca="1" si="0"/>
        <v>ANNUALIZED REAL EQUITY RISK PREMIUM, 1900-2010</v>
      </c>
    </row>
    <row r="19" spans="1:2" x14ac:dyDescent="0.2">
      <c r="A19" s="98" t="s">
        <v>468</v>
      </c>
      <c r="B19" s="96" t="str">
        <f t="shared" ca="1" si="0"/>
        <v>TARGET CORP.'S WACC USING 
GORDON MODEL FOR COST OF EQUITY</v>
      </c>
    </row>
  </sheetData>
  <mergeCells count="1">
    <mergeCell ref="A1:B1"/>
  </mergeCells>
  <hyperlinks>
    <hyperlink ref="A3" location="'Page 511 - figure'!A1" display="'Page 511 - figure'!A1"/>
    <hyperlink ref="A4" location="'Page 511'!A1" display="'Page 511'!A1"/>
    <hyperlink ref="A5" location="'Page 512'!A1" display="'Page 512'!A1"/>
    <hyperlink ref="A6" location="'Page 514'!A1" display="'Page 514'!A1"/>
    <hyperlink ref="A7" location="'Page 515'!A1" display="'Page 515'!A1"/>
    <hyperlink ref="A8" location="'Page 516'!A1" display="'Page 516'!A1"/>
    <hyperlink ref="A9" location="'Page 518'!A1" display="'Page 518'!A1"/>
    <hyperlink ref="A10" location="'Page 520-521'!A1" display="'Page 520-521'!A1"/>
    <hyperlink ref="A11" location="'Page 521 bottom'!A1" display="'Page 521 bottom'!A1"/>
    <hyperlink ref="A12" location="'Page 522'!A1" display="'Page 522'!A1"/>
    <hyperlink ref="A13" location="'Page 524'!A1" display="'Page 524'!A1"/>
    <hyperlink ref="A14" location="'Page 525'!A1" display="'Page 525'!A1"/>
    <hyperlink ref="A15" location="'Page 528'!A1" display="'Page 528'!A1"/>
    <hyperlink ref="A16" location="'Page 529-531'!A1" display="'Page 529-531'!A1"/>
    <hyperlink ref="A17" location="'Page 532'!A1" display="'Page 532'!A1"/>
    <hyperlink ref="A18" location="'Page 533'!A1" display="'Page 533'!A1"/>
    <hyperlink ref="A19" location="'Page 535'!A1" display="'Page 535'!A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I1"/>
  <sheetViews>
    <sheetView workbookViewId="0">
      <selection activeCell="L13" sqref="L13"/>
    </sheetView>
  </sheetViews>
  <sheetFormatPr defaultRowHeight="12.75" x14ac:dyDescent="0.2"/>
  <sheetData>
    <row r="1" spans="1:9" ht="15" x14ac:dyDescent="0.25">
      <c r="A1" s="100" t="s">
        <v>448</v>
      </c>
      <c r="B1" s="100"/>
      <c r="C1" s="100"/>
      <c r="D1" s="100"/>
      <c r="E1" s="100"/>
      <c r="F1" s="100"/>
      <c r="G1" s="100"/>
      <c r="H1" s="100"/>
      <c r="I1" s="100"/>
    </row>
  </sheetData>
  <mergeCells count="1">
    <mergeCell ref="A1:I1"/>
  </mergeCells>
  <phoneticPr fontId="13" type="noConversion"/>
  <pageMargins left="0.75" right="0.75" top="1" bottom="1" header="0.5" footer="0.5"/>
  <pageSetup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E9"/>
  <sheetViews>
    <sheetView workbookViewId="0">
      <selection activeCell="D18" sqref="D18"/>
    </sheetView>
  </sheetViews>
  <sheetFormatPr defaultRowHeight="12.75" x14ac:dyDescent="0.2"/>
  <cols>
    <col min="1" max="1" width="28" bestFit="1" customWidth="1"/>
    <col min="2" max="2" width="11" customWidth="1"/>
    <col min="3" max="3" width="10.28515625" customWidth="1"/>
    <col min="4" max="4" width="12.140625" customWidth="1"/>
    <col min="5" max="5" width="10.7109375" bestFit="1" customWidth="1"/>
  </cols>
  <sheetData>
    <row r="1" spans="1:5" ht="18" x14ac:dyDescent="0.25">
      <c r="A1" s="101" t="s">
        <v>78</v>
      </c>
      <c r="B1" s="101"/>
      <c r="C1" s="101"/>
      <c r="D1" s="101"/>
      <c r="E1" s="101"/>
    </row>
    <row r="2" spans="1:5" x14ac:dyDescent="0.2">
      <c r="A2" t="s">
        <v>79</v>
      </c>
      <c r="B2" s="1">
        <v>30000</v>
      </c>
    </row>
    <row r="4" spans="1:5" s="14" customFormat="1" ht="63.75" x14ac:dyDescent="0.2">
      <c r="A4" s="14" t="s">
        <v>80</v>
      </c>
      <c r="B4" s="15" t="s">
        <v>86</v>
      </c>
      <c r="C4" s="15" t="s">
        <v>82</v>
      </c>
      <c r="D4" s="15" t="s">
        <v>83</v>
      </c>
    </row>
    <row r="5" spans="1:5" x14ac:dyDescent="0.2">
      <c r="A5" t="s">
        <v>81</v>
      </c>
      <c r="B5" s="2">
        <v>0.6</v>
      </c>
      <c r="C5" s="1">
        <v>1000000</v>
      </c>
      <c r="D5" s="36">
        <f>B5*C5</f>
        <v>600000</v>
      </c>
      <c r="E5" t="e">
        <f ca="1">GetFormula(D5)</f>
        <v>#NAME?</v>
      </c>
    </row>
    <row r="6" spans="1:5" x14ac:dyDescent="0.2">
      <c r="A6" t="s">
        <v>84</v>
      </c>
      <c r="B6" s="2">
        <v>0.5</v>
      </c>
      <c r="C6" s="1">
        <v>875000</v>
      </c>
      <c r="D6" s="36">
        <f>B6*C6</f>
        <v>437500</v>
      </c>
      <c r="E6" t="e">
        <f ca="1">GetFormula(D6)</f>
        <v>#NAME?</v>
      </c>
    </row>
    <row r="7" spans="1:5" x14ac:dyDescent="0.2">
      <c r="A7" t="s">
        <v>85</v>
      </c>
      <c r="D7" s="36">
        <f>D6+D5</f>
        <v>1037500</v>
      </c>
      <c r="E7" t="e">
        <f ca="1">GetFormula(D7)</f>
        <v>#NAME?</v>
      </c>
    </row>
    <row r="9" spans="1:5" x14ac:dyDescent="0.2">
      <c r="A9" s="12" t="s">
        <v>87</v>
      </c>
      <c r="D9" s="37">
        <f>D7/B2</f>
        <v>34.583333333333336</v>
      </c>
      <c r="E9" t="e">
        <f ca="1">GetFormula(D9)</f>
        <v>#NAME?</v>
      </c>
    </row>
  </sheetData>
  <mergeCells count="1">
    <mergeCell ref="A1:E1"/>
  </mergeCells>
  <phoneticPr fontId="13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E9"/>
  <sheetViews>
    <sheetView workbookViewId="0">
      <selection sqref="A1:E1"/>
    </sheetView>
  </sheetViews>
  <sheetFormatPr defaultRowHeight="12.75" x14ac:dyDescent="0.2"/>
  <cols>
    <col min="1" max="1" width="28" bestFit="1" customWidth="1"/>
    <col min="2" max="2" width="11" customWidth="1"/>
    <col min="3" max="3" width="10.28515625" customWidth="1"/>
    <col min="4" max="4" width="12.140625" customWidth="1"/>
    <col min="5" max="5" width="10.7109375" bestFit="1" customWidth="1"/>
  </cols>
  <sheetData>
    <row r="1" spans="1:5" ht="18" x14ac:dyDescent="0.25">
      <c r="A1" s="101" t="s">
        <v>78</v>
      </c>
      <c r="B1" s="101"/>
      <c r="C1" s="101"/>
      <c r="D1" s="101"/>
      <c r="E1" s="101"/>
    </row>
    <row r="2" spans="1:5" x14ac:dyDescent="0.2">
      <c r="A2" t="s">
        <v>79</v>
      </c>
      <c r="B2" s="1">
        <v>30000</v>
      </c>
    </row>
    <row r="4" spans="1:5" s="14" customFormat="1" ht="63.75" x14ac:dyDescent="0.2">
      <c r="A4" s="14" t="s">
        <v>80</v>
      </c>
      <c r="B4" s="15" t="s">
        <v>86</v>
      </c>
      <c r="C4" s="15" t="s">
        <v>82</v>
      </c>
      <c r="D4" s="15" t="s">
        <v>83</v>
      </c>
    </row>
    <row r="5" spans="1:5" x14ac:dyDescent="0.2">
      <c r="A5" t="s">
        <v>81</v>
      </c>
      <c r="B5" s="2">
        <v>0.6</v>
      </c>
      <c r="C5" s="1">
        <v>1600000</v>
      </c>
      <c r="D5" s="53">
        <f>B5*C5</f>
        <v>960000</v>
      </c>
      <c r="E5" t="e">
        <f ca="1">GetFormula(D5)</f>
        <v>#NAME?</v>
      </c>
    </row>
    <row r="6" spans="1:5" x14ac:dyDescent="0.2">
      <c r="A6" t="s">
        <v>84</v>
      </c>
      <c r="B6" s="2">
        <v>0.5</v>
      </c>
      <c r="C6" s="1">
        <v>875000</v>
      </c>
      <c r="D6" s="53">
        <f>B6*C6</f>
        <v>437500</v>
      </c>
      <c r="E6" t="e">
        <f ca="1">GetFormula(D6)</f>
        <v>#NAME?</v>
      </c>
    </row>
    <row r="7" spans="1:5" x14ac:dyDescent="0.2">
      <c r="A7" t="s">
        <v>85</v>
      </c>
      <c r="D7" s="53">
        <f>D6+D5</f>
        <v>1397500</v>
      </c>
      <c r="E7" t="e">
        <f ca="1">GetFormula(D7)</f>
        <v>#NAME?</v>
      </c>
    </row>
    <row r="9" spans="1:5" x14ac:dyDescent="0.2">
      <c r="A9" s="12" t="s">
        <v>87</v>
      </c>
      <c r="D9" s="58">
        <f>D7/B2</f>
        <v>46.583333333333336</v>
      </c>
      <c r="E9" t="e">
        <f ca="1">GetFormula(D9)</f>
        <v>#NAME?</v>
      </c>
    </row>
  </sheetData>
  <mergeCells count="1">
    <mergeCell ref="A1:E1"/>
  </mergeCells>
  <phoneticPr fontId="13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/>
  <dimension ref="A1:E25"/>
  <sheetViews>
    <sheetView showGridLines="0" zoomScale="85" workbookViewId="0">
      <selection activeCell="F9" sqref="F9"/>
    </sheetView>
  </sheetViews>
  <sheetFormatPr defaultRowHeight="12.75" x14ac:dyDescent="0.2"/>
  <cols>
    <col min="1" max="1" width="2.42578125" customWidth="1"/>
    <col min="2" max="2" width="34.42578125" style="65" customWidth="1"/>
    <col min="4" max="4" width="49.42578125" customWidth="1"/>
    <col min="5" max="5" width="2.42578125" customWidth="1"/>
  </cols>
  <sheetData>
    <row r="1" spans="1:5" ht="17.649999999999999" customHeight="1" x14ac:dyDescent="0.2">
      <c r="A1" s="102" t="s">
        <v>449</v>
      </c>
      <c r="B1" s="102"/>
      <c r="C1" s="102"/>
      <c r="D1" s="102"/>
      <c r="E1" s="102"/>
    </row>
    <row r="2" spans="1:5" ht="17.649999999999999" customHeight="1" x14ac:dyDescent="0.2">
      <c r="A2" s="102"/>
      <c r="B2" s="102"/>
      <c r="C2" s="102"/>
      <c r="D2" s="102"/>
      <c r="E2" s="102"/>
    </row>
    <row r="4" spans="1:5" ht="13.5" thickBot="1" x14ac:dyDescent="0.25"/>
    <row r="5" spans="1:5" ht="39" thickBot="1" x14ac:dyDescent="0.25">
      <c r="B5" s="66" t="s">
        <v>172</v>
      </c>
    </row>
    <row r="7" spans="1:5" ht="13.5" thickBot="1" x14ac:dyDescent="0.25"/>
    <row r="8" spans="1:5" ht="25.5" x14ac:dyDescent="0.2">
      <c r="B8" s="67" t="s">
        <v>173</v>
      </c>
    </row>
    <row r="9" spans="1:5" x14ac:dyDescent="0.2">
      <c r="B9" s="68"/>
    </row>
    <row r="10" spans="1:5" x14ac:dyDescent="0.2">
      <c r="B10" s="68"/>
      <c r="D10" t="s">
        <v>179</v>
      </c>
    </row>
    <row r="11" spans="1:5" x14ac:dyDescent="0.2">
      <c r="B11" s="68"/>
      <c r="D11" s="33"/>
    </row>
    <row r="12" spans="1:5" x14ac:dyDescent="0.2">
      <c r="B12" s="68"/>
    </row>
    <row r="13" spans="1:5" ht="13.5" thickBot="1" x14ac:dyDescent="0.25">
      <c r="B13" s="69"/>
    </row>
    <row r="15" spans="1:5" ht="13.5" thickBot="1" x14ac:dyDescent="0.25"/>
    <row r="16" spans="1:5" ht="128.25" thickBot="1" x14ac:dyDescent="0.25">
      <c r="B16" s="71" t="s">
        <v>174</v>
      </c>
      <c r="D16" s="72" t="s">
        <v>175</v>
      </c>
    </row>
    <row r="18" spans="2:3" ht="13.5" thickBot="1" x14ac:dyDescent="0.25"/>
    <row r="19" spans="2:3" ht="61.9" customHeight="1" thickBot="1" x14ac:dyDescent="0.25">
      <c r="B19" s="73" t="s">
        <v>177</v>
      </c>
      <c r="C19" s="74"/>
    </row>
    <row r="21" spans="2:3" ht="13.5" thickBot="1" x14ac:dyDescent="0.25"/>
    <row r="22" spans="2:3" ht="64.5" thickBot="1" x14ac:dyDescent="0.25">
      <c r="B22" s="73" t="s">
        <v>176</v>
      </c>
      <c r="C22" s="74"/>
    </row>
    <row r="24" spans="2:3" ht="13.5" thickBot="1" x14ac:dyDescent="0.25"/>
    <row r="25" spans="2:3" ht="64.5" thickBot="1" x14ac:dyDescent="0.25">
      <c r="B25" s="70" t="s">
        <v>178</v>
      </c>
    </row>
  </sheetData>
  <mergeCells count="1">
    <mergeCell ref="A1:E2"/>
  </mergeCells>
  <phoneticPr fontId="0" type="noConversion"/>
  <pageMargins left="0.75" right="0.75" top="1" bottom="1" header="0.5" footer="0.5"/>
  <pageSetup orientation="portrait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Equation.DSMT4" shapeId="5148" r:id="rId4">
          <objectPr defaultSize="0" r:id="rId5">
            <anchor moveWithCells="1">
              <from>
                <xdr:col>1</xdr:col>
                <xdr:colOff>47625</xdr:colOff>
                <xdr:row>8</xdr:row>
                <xdr:rowOff>9525</xdr:rowOff>
              </from>
              <to>
                <xdr:col>1</xdr:col>
                <xdr:colOff>2286000</xdr:colOff>
                <xdr:row>12</xdr:row>
                <xdr:rowOff>114300</xdr:rowOff>
              </to>
            </anchor>
          </objectPr>
        </oleObject>
      </mc:Choice>
      <mc:Fallback>
        <oleObject progId="Equation.DSMT4" shapeId="5148" r:id="rId4"/>
      </mc:Fallback>
    </mc:AlternateContent>
    <mc:AlternateContent xmlns:mc="http://schemas.openxmlformats.org/markup-compatibility/2006">
      <mc:Choice Requires="x14">
        <oleObject progId="Equation.DSMT4" shapeId="5150" r:id="rId6">
          <objectPr defaultSize="0" autoPict="0" r:id="rId7">
            <anchor moveWithCells="1">
              <from>
                <xdr:col>1</xdr:col>
                <xdr:colOff>47625</xdr:colOff>
                <xdr:row>15</xdr:row>
                <xdr:rowOff>428625</xdr:rowOff>
              </from>
              <to>
                <xdr:col>1</xdr:col>
                <xdr:colOff>2324100</xdr:colOff>
                <xdr:row>15</xdr:row>
                <xdr:rowOff>952500</xdr:rowOff>
              </to>
            </anchor>
          </objectPr>
        </oleObject>
      </mc:Choice>
      <mc:Fallback>
        <oleObject progId="Equation.DSMT4" shapeId="5150" r:id="rId6"/>
      </mc:Fallback>
    </mc:AlternateContent>
    <mc:AlternateContent xmlns:mc="http://schemas.openxmlformats.org/markup-compatibility/2006">
      <mc:Choice Requires="x14">
        <oleObject progId="Equation.DSMT4" shapeId="5151" r:id="rId8">
          <objectPr defaultSize="0" autoPict="0" r:id="rId9">
            <anchor moveWithCells="1">
              <from>
                <xdr:col>3</xdr:col>
                <xdr:colOff>85725</xdr:colOff>
                <xdr:row>15</xdr:row>
                <xdr:rowOff>390525</xdr:rowOff>
              </from>
              <to>
                <xdr:col>3</xdr:col>
                <xdr:colOff>3362325</xdr:colOff>
                <xdr:row>15</xdr:row>
                <xdr:rowOff>1104900</xdr:rowOff>
              </to>
            </anchor>
          </objectPr>
        </oleObject>
      </mc:Choice>
      <mc:Fallback>
        <oleObject progId="Equation.DSMT4" shapeId="5151" r:id="rId8"/>
      </mc:Fallback>
    </mc:AlternateContent>
    <mc:AlternateContent xmlns:mc="http://schemas.openxmlformats.org/markup-compatibility/2006">
      <mc:Choice Requires="x14">
        <oleObject progId="Equation.DSMT4" shapeId="5152" r:id="rId10">
          <objectPr defaultSize="0" autoPict="0" r:id="rId11">
            <anchor moveWithCells="1">
              <from>
                <xdr:col>1</xdr:col>
                <xdr:colOff>38100</xdr:colOff>
                <xdr:row>18</xdr:row>
                <xdr:rowOff>495300</xdr:rowOff>
              </from>
              <to>
                <xdr:col>2</xdr:col>
                <xdr:colOff>581025</xdr:colOff>
                <xdr:row>18</xdr:row>
                <xdr:rowOff>666750</xdr:rowOff>
              </to>
            </anchor>
          </objectPr>
        </oleObject>
      </mc:Choice>
      <mc:Fallback>
        <oleObject progId="Equation.DSMT4" shapeId="5152" r:id="rId10"/>
      </mc:Fallback>
    </mc:AlternateContent>
    <mc:AlternateContent xmlns:mc="http://schemas.openxmlformats.org/markup-compatibility/2006">
      <mc:Choice Requires="x14">
        <oleObject progId="Equation.DSMT4" shapeId="5153" r:id="rId12">
          <objectPr defaultSize="0" r:id="rId13">
            <anchor moveWithCells="1">
              <from>
                <xdr:col>1</xdr:col>
                <xdr:colOff>85725</xdr:colOff>
                <xdr:row>21</xdr:row>
                <xdr:rowOff>400050</xdr:rowOff>
              </from>
              <to>
                <xdr:col>2</xdr:col>
                <xdr:colOff>552450</xdr:colOff>
                <xdr:row>21</xdr:row>
                <xdr:rowOff>609600</xdr:rowOff>
              </to>
            </anchor>
          </objectPr>
        </oleObject>
      </mc:Choice>
      <mc:Fallback>
        <oleObject progId="Equation.DSMT4" shapeId="5153" r:id="rId12"/>
      </mc:Fallback>
    </mc:AlternateContent>
    <mc:AlternateContent xmlns:mc="http://schemas.openxmlformats.org/markup-compatibility/2006">
      <mc:Choice Requires="x14">
        <oleObject progId="Equation.DSMT4" shapeId="5154" r:id="rId14">
          <objectPr defaultSize="0" r:id="rId15">
            <anchor moveWithCells="1">
              <from>
                <xdr:col>1</xdr:col>
                <xdr:colOff>114300</xdr:colOff>
                <xdr:row>24</xdr:row>
                <xdr:rowOff>342900</xdr:rowOff>
              </from>
              <to>
                <xdr:col>1</xdr:col>
                <xdr:colOff>2228850</xdr:colOff>
                <xdr:row>24</xdr:row>
                <xdr:rowOff>771525</xdr:rowOff>
              </to>
            </anchor>
          </objectPr>
        </oleObject>
      </mc:Choice>
      <mc:Fallback>
        <oleObject progId="Equation.DSMT4" shapeId="5154" r:id="rId14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13"/>
  <sheetViews>
    <sheetView workbookViewId="0">
      <selection activeCell="C12" sqref="C12"/>
    </sheetView>
  </sheetViews>
  <sheetFormatPr defaultRowHeight="12.75" x14ac:dyDescent="0.2"/>
  <cols>
    <col min="1" max="1" width="25.42578125" customWidth="1"/>
    <col min="2" max="2" width="14" customWidth="1"/>
    <col min="3" max="3" width="30.7109375" bestFit="1" customWidth="1"/>
  </cols>
  <sheetData>
    <row r="1" spans="1:3" ht="18" x14ac:dyDescent="0.25">
      <c r="A1" s="101" t="s">
        <v>88</v>
      </c>
      <c r="B1" s="101"/>
      <c r="C1" s="101"/>
    </row>
    <row r="2" spans="1:3" x14ac:dyDescent="0.2">
      <c r="A2" s="59" t="s">
        <v>180</v>
      </c>
      <c r="B2" s="1">
        <v>2000000</v>
      </c>
    </row>
    <row r="3" spans="1:3" x14ac:dyDescent="0.2">
      <c r="A3" t="s">
        <v>89</v>
      </c>
      <c r="B3" s="2">
        <v>0.08</v>
      </c>
    </row>
    <row r="4" spans="1:3" x14ac:dyDescent="0.2">
      <c r="A4" t="s">
        <v>0</v>
      </c>
      <c r="B4" s="2">
        <v>0.15</v>
      </c>
    </row>
    <row r="5" spans="1:3" x14ac:dyDescent="0.2">
      <c r="A5" t="s">
        <v>181</v>
      </c>
      <c r="B5" s="1">
        <v>10000000</v>
      </c>
    </row>
    <row r="6" spans="1:3" x14ac:dyDescent="0.2">
      <c r="A6" t="s">
        <v>182</v>
      </c>
      <c r="B6" s="1">
        <v>1000000</v>
      </c>
    </row>
    <row r="7" spans="1:3" x14ac:dyDescent="0.2">
      <c r="A7" t="s">
        <v>49</v>
      </c>
      <c r="B7" s="1">
        <v>2000000</v>
      </c>
    </row>
    <row r="9" spans="1:3" x14ac:dyDescent="0.2">
      <c r="A9" s="12" t="s">
        <v>6</v>
      </c>
      <c r="B9" s="38">
        <f>B2*(1+B3)/(B4-B3)*(1+B4)^0.5</f>
        <v>33090599.195270568</v>
      </c>
      <c r="C9" t="e">
        <f ca="1">"&lt;-- "&amp;_xlfn.FORMULATEXT(B9)</f>
        <v>#NAME?</v>
      </c>
    </row>
    <row r="10" spans="1:3" x14ac:dyDescent="0.2">
      <c r="A10" t="s">
        <v>2</v>
      </c>
      <c r="B10" s="1">
        <f>B6</f>
        <v>1000000</v>
      </c>
      <c r="C10" t="e">
        <f ca="1">"&lt;-- "&amp;_xlfn.FORMULATEXT(B10)</f>
        <v>#NAME?</v>
      </c>
    </row>
    <row r="11" spans="1:3" x14ac:dyDescent="0.2">
      <c r="A11" t="s">
        <v>1</v>
      </c>
      <c r="B11" s="1">
        <f>-B5</f>
        <v>-10000000</v>
      </c>
      <c r="C11" t="e">
        <f ca="1">"&lt;-- "&amp;_xlfn.FORMULATEXT(B11)</f>
        <v>#NAME?</v>
      </c>
    </row>
    <row r="12" spans="1:3" x14ac:dyDescent="0.2">
      <c r="A12" t="s">
        <v>3</v>
      </c>
      <c r="B12" s="1">
        <f>SUM(B9:B11)</f>
        <v>24090599.195270568</v>
      </c>
      <c r="C12" t="e">
        <f ca="1">"&lt;-- "&amp;_xlfn.FORMULATEXT(B12)</f>
        <v>#NAME?</v>
      </c>
    </row>
    <row r="13" spans="1:3" x14ac:dyDescent="0.2">
      <c r="A13" s="12" t="s">
        <v>13</v>
      </c>
      <c r="B13" s="17">
        <f>B12/B7</f>
        <v>12.045299597635283</v>
      </c>
      <c r="C13" t="e">
        <f ca="1">"&lt;-- "&amp;_xlfn.FORMULATEXT(B13)</f>
        <v>#NAME?</v>
      </c>
    </row>
  </sheetData>
  <mergeCells count="1">
    <mergeCell ref="A1:C1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21"/>
  <sheetViews>
    <sheetView workbookViewId="0">
      <selection activeCell="E22" sqref="E22"/>
    </sheetView>
  </sheetViews>
  <sheetFormatPr defaultRowHeight="12.75" x14ac:dyDescent="0.2"/>
  <cols>
    <col min="1" max="1" width="34.140625" bestFit="1" customWidth="1"/>
    <col min="2" max="2" width="9.85546875" bestFit="1" customWidth="1"/>
    <col min="3" max="3" width="26.85546875" bestFit="1" customWidth="1"/>
    <col min="5" max="5" width="13.42578125" bestFit="1" customWidth="1"/>
  </cols>
  <sheetData>
    <row r="1" spans="1:5" ht="18" x14ac:dyDescent="0.25">
      <c r="A1" s="101" t="s">
        <v>185</v>
      </c>
      <c r="B1" s="101"/>
      <c r="C1" s="101"/>
    </row>
    <row r="2" spans="1:5" x14ac:dyDescent="0.2">
      <c r="A2" t="s">
        <v>180</v>
      </c>
      <c r="B2" s="1">
        <v>1000000</v>
      </c>
    </row>
    <row r="3" spans="1:5" x14ac:dyDescent="0.2">
      <c r="B3" s="1"/>
    </row>
    <row r="4" spans="1:5" ht="15.75" x14ac:dyDescent="0.3">
      <c r="A4" t="s">
        <v>9</v>
      </c>
      <c r="B4" s="2">
        <v>0.35</v>
      </c>
      <c r="E4" s="5"/>
    </row>
    <row r="5" spans="1:5" ht="15.75" x14ac:dyDescent="0.3">
      <c r="A5" t="s">
        <v>8</v>
      </c>
      <c r="B5" s="2">
        <v>0.1</v>
      </c>
    </row>
    <row r="6" spans="1:5" x14ac:dyDescent="0.2">
      <c r="A6" t="s">
        <v>7</v>
      </c>
      <c r="B6" s="4">
        <v>5</v>
      </c>
    </row>
    <row r="7" spans="1:5" ht="15.75" x14ac:dyDescent="0.3">
      <c r="A7" t="s">
        <v>11</v>
      </c>
      <c r="B7" s="2">
        <f>(1+B4)/(1+B9)</f>
        <v>1.1250000000000002</v>
      </c>
      <c r="C7" t="e">
        <f ca="1">"&lt;-- "&amp;_xlfn.FORMULATEXT(B7)</f>
        <v>#NAME?</v>
      </c>
    </row>
    <row r="8" spans="1:5" x14ac:dyDescent="0.2">
      <c r="B8" s="2"/>
    </row>
    <row r="9" spans="1:5" x14ac:dyDescent="0.2">
      <c r="A9" t="s">
        <v>0</v>
      </c>
      <c r="B9" s="2">
        <v>0.2</v>
      </c>
    </row>
    <row r="10" spans="1:5" x14ac:dyDescent="0.2">
      <c r="A10" t="s">
        <v>181</v>
      </c>
      <c r="B10" s="1">
        <v>3000000</v>
      </c>
    </row>
    <row r="11" spans="1:5" x14ac:dyDescent="0.2">
      <c r="A11" t="s">
        <v>182</v>
      </c>
      <c r="B11" s="1">
        <v>500000</v>
      </c>
    </row>
    <row r="12" spans="1:5" x14ac:dyDescent="0.2">
      <c r="B12" s="1"/>
    </row>
    <row r="13" spans="1:5" x14ac:dyDescent="0.2">
      <c r="A13" t="s">
        <v>10</v>
      </c>
      <c r="B13" s="1">
        <f>B2*B7*(1-B7^B6)/(1-B7)</f>
        <v>7218292.2363281278</v>
      </c>
      <c r="C13" t="e">
        <f t="shared" ref="C13:C18" ca="1" si="0">"&lt;-- "&amp;_xlfn.FORMULATEXT(B13)</f>
        <v>#NAME?</v>
      </c>
    </row>
    <row r="14" spans="1:5" x14ac:dyDescent="0.2">
      <c r="A14" t="s">
        <v>12</v>
      </c>
      <c r="B14" s="1">
        <f>B2*B7^B6*(1+B5)/(B9-B5)</f>
        <v>19822357.177734394</v>
      </c>
      <c r="C14" t="e">
        <f t="shared" ca="1" si="0"/>
        <v>#NAME?</v>
      </c>
    </row>
    <row r="15" spans="1:5" x14ac:dyDescent="0.2">
      <c r="A15" s="12" t="s">
        <v>6</v>
      </c>
      <c r="B15" s="38">
        <f>SUM(B13:B14)*(1+B9)^0.5</f>
        <v>29621547.307341792</v>
      </c>
      <c r="C15" t="e">
        <f t="shared" ca="1" si="0"/>
        <v>#NAME?</v>
      </c>
    </row>
    <row r="16" spans="1:5" x14ac:dyDescent="0.2">
      <c r="A16" t="s">
        <v>2</v>
      </c>
      <c r="B16" s="1">
        <f>B11</f>
        <v>500000</v>
      </c>
      <c r="C16" t="e">
        <f t="shared" ca="1" si="0"/>
        <v>#NAME?</v>
      </c>
    </row>
    <row r="17" spans="1:3" x14ac:dyDescent="0.2">
      <c r="A17" t="s">
        <v>1</v>
      </c>
      <c r="B17" s="1">
        <f>-B10</f>
        <v>-3000000</v>
      </c>
      <c r="C17" t="e">
        <f t="shared" ca="1" si="0"/>
        <v>#NAME?</v>
      </c>
    </row>
    <row r="18" spans="1:3" x14ac:dyDescent="0.2">
      <c r="A18" s="12" t="s">
        <v>3</v>
      </c>
      <c r="B18" s="38">
        <f>SUM(B15:B17)</f>
        <v>27121547.307341792</v>
      </c>
      <c r="C18" t="e">
        <f t="shared" ca="1" si="0"/>
        <v>#NAME?</v>
      </c>
    </row>
    <row r="20" spans="1:3" x14ac:dyDescent="0.2">
      <c r="A20" t="s">
        <v>183</v>
      </c>
      <c r="B20" s="1">
        <v>3000000</v>
      </c>
    </row>
    <row r="21" spans="1:3" x14ac:dyDescent="0.2">
      <c r="A21" s="12" t="s">
        <v>13</v>
      </c>
      <c r="B21" s="17">
        <f>B18/B20</f>
        <v>9.0405157691139308</v>
      </c>
      <c r="C21" t="e">
        <f ca="1">"&lt;-- "&amp;_xlfn.FORMULATEXT(B21)</f>
        <v>#NAME?</v>
      </c>
    </row>
  </sheetData>
  <mergeCells count="1">
    <mergeCell ref="A1:C1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G37"/>
  <sheetViews>
    <sheetView workbookViewId="0">
      <selection activeCell="D23" sqref="D23"/>
    </sheetView>
  </sheetViews>
  <sheetFormatPr defaultRowHeight="12.75" x14ac:dyDescent="0.2"/>
  <cols>
    <col min="1" max="1" width="38.85546875" bestFit="1" customWidth="1"/>
    <col min="2" max="2" width="11.85546875" bestFit="1" customWidth="1"/>
    <col min="3" max="3" width="19.42578125" bestFit="1" customWidth="1"/>
    <col min="4" max="4" width="4.42578125" customWidth="1"/>
    <col min="5" max="5" width="39.42578125" bestFit="1" customWidth="1"/>
    <col min="6" max="6" width="10.140625" bestFit="1" customWidth="1"/>
    <col min="7" max="7" width="15.28515625" bestFit="1" customWidth="1"/>
  </cols>
  <sheetData>
    <row r="1" spans="1:7" ht="18" x14ac:dyDescent="0.25">
      <c r="A1" s="101" t="s">
        <v>104</v>
      </c>
      <c r="B1" s="101"/>
      <c r="C1" s="101"/>
      <c r="D1" s="101"/>
      <c r="E1" s="101"/>
      <c r="F1" s="101"/>
      <c r="G1" s="101"/>
    </row>
    <row r="2" spans="1:7" x14ac:dyDescent="0.2">
      <c r="A2" t="s">
        <v>90</v>
      </c>
      <c r="B2" s="1">
        <v>20000000</v>
      </c>
    </row>
    <row r="3" spans="1:7" x14ac:dyDescent="0.2">
      <c r="A3" t="s">
        <v>91</v>
      </c>
      <c r="B3">
        <v>40</v>
      </c>
    </row>
    <row r="4" spans="1:7" x14ac:dyDescent="0.2">
      <c r="A4" t="s">
        <v>92</v>
      </c>
      <c r="B4" s="1">
        <v>7000000</v>
      </c>
    </row>
    <row r="5" spans="1:7" x14ac:dyDescent="0.2">
      <c r="A5" t="s">
        <v>93</v>
      </c>
      <c r="B5" s="1">
        <v>1000000</v>
      </c>
    </row>
    <row r="6" spans="1:7" x14ac:dyDescent="0.2">
      <c r="A6" t="s">
        <v>94</v>
      </c>
      <c r="B6" s="1">
        <f>B2/B3</f>
        <v>500000</v>
      </c>
      <c r="C6" t="e">
        <f ca="1">"&lt;-- "&amp;_xlfn.FORMULATEXT(B6)</f>
        <v>#NAME?</v>
      </c>
      <c r="E6" s="13" t="s">
        <v>107</v>
      </c>
    </row>
    <row r="7" spans="1:7" x14ac:dyDescent="0.2">
      <c r="A7" t="s">
        <v>114</v>
      </c>
      <c r="B7" s="2">
        <v>0.4</v>
      </c>
      <c r="E7" t="s">
        <v>108</v>
      </c>
      <c r="F7" s="1">
        <f>B4</f>
        <v>7000000</v>
      </c>
    </row>
    <row r="8" spans="1:7" x14ac:dyDescent="0.2">
      <c r="A8" t="s">
        <v>0</v>
      </c>
      <c r="B8" s="2">
        <v>0.18</v>
      </c>
      <c r="E8" t="s">
        <v>109</v>
      </c>
      <c r="F8" s="1">
        <f>-B5</f>
        <v>-1000000</v>
      </c>
    </row>
    <row r="9" spans="1:7" x14ac:dyDescent="0.2">
      <c r="A9" t="s">
        <v>103</v>
      </c>
      <c r="B9" s="36">
        <v>25</v>
      </c>
      <c r="E9" t="s">
        <v>110</v>
      </c>
      <c r="F9" s="1">
        <f>-B6</f>
        <v>-500000</v>
      </c>
    </row>
    <row r="10" spans="1:7" x14ac:dyDescent="0.2">
      <c r="A10" s="12" t="s">
        <v>105</v>
      </c>
      <c r="B10" s="40">
        <f>B2/B9</f>
        <v>800000</v>
      </c>
      <c r="E10" s="12" t="s">
        <v>95</v>
      </c>
      <c r="F10" s="38">
        <f>SUM(F7:F9)</f>
        <v>5500000</v>
      </c>
      <c r="G10" t="e">
        <f ca="1">"&lt;-- "&amp;_xlfn.FORMULATEXT(F10)</f>
        <v>#NAME?</v>
      </c>
    </row>
    <row r="12" spans="1:7" x14ac:dyDescent="0.2">
      <c r="A12" s="13" t="s">
        <v>113</v>
      </c>
    </row>
    <row r="13" spans="1:7" x14ac:dyDescent="0.2">
      <c r="A13" t="s">
        <v>95</v>
      </c>
      <c r="B13" s="1">
        <f>F10/B9</f>
        <v>220000</v>
      </c>
      <c r="C13" t="e">
        <f ca="1">"&lt;-- "&amp;_xlfn.FORMULATEXT(B13)</f>
        <v>#NAME?</v>
      </c>
      <c r="E13" s="13" t="s">
        <v>111</v>
      </c>
    </row>
    <row r="14" spans="1:7" x14ac:dyDescent="0.2">
      <c r="A14" t="s">
        <v>96</v>
      </c>
      <c r="B14" s="36">
        <f>(1-B7)*B13</f>
        <v>132000</v>
      </c>
      <c r="C14" t="e">
        <f ca="1">"&lt;-- "&amp;_xlfn.FORMULATEXT(B14)</f>
        <v>#NAME?</v>
      </c>
      <c r="E14" t="s">
        <v>98</v>
      </c>
      <c r="F14" s="1">
        <f>B2</f>
        <v>20000000</v>
      </c>
      <c r="G14" t="e">
        <f ca="1">"&lt;-- "&amp;_xlfn.FORMULATEXT(F14)</f>
        <v>#NAME?</v>
      </c>
    </row>
    <row r="15" spans="1:7" x14ac:dyDescent="0.2">
      <c r="A15" t="s">
        <v>106</v>
      </c>
      <c r="B15" s="36">
        <f>B6/B9</f>
        <v>20000</v>
      </c>
      <c r="C15" t="e">
        <f ca="1">"&lt;-- "&amp;_xlfn.FORMULATEXT(B15)</f>
        <v>#NAME?</v>
      </c>
      <c r="E15" t="s">
        <v>116</v>
      </c>
      <c r="F15" s="36">
        <f>B6*10</f>
        <v>5000000</v>
      </c>
      <c r="G15" t="e">
        <f ca="1">"&lt;-- "&amp;_xlfn.FORMULATEXT(F15)</f>
        <v>#NAME?</v>
      </c>
    </row>
    <row r="16" spans="1:7" x14ac:dyDescent="0.2">
      <c r="A16" s="12" t="s">
        <v>97</v>
      </c>
      <c r="B16" s="38">
        <f>B14+B15</f>
        <v>152000</v>
      </c>
      <c r="C16" t="e">
        <f ca="1">"&lt;-- "&amp;_xlfn.FORMULATEXT(B16)</f>
        <v>#NAME?</v>
      </c>
      <c r="E16" t="s">
        <v>117</v>
      </c>
      <c r="F16" s="1">
        <f>B2-F15</f>
        <v>15000000</v>
      </c>
      <c r="G16" t="e">
        <f ca="1">"&lt;-- "&amp;_xlfn.FORMULATEXT(F16)</f>
        <v>#NAME?</v>
      </c>
    </row>
    <row r="17" spans="1:7" x14ac:dyDescent="0.2">
      <c r="F17" s="1"/>
    </row>
    <row r="18" spans="1:7" x14ac:dyDescent="0.2">
      <c r="A18" s="13" t="s">
        <v>112</v>
      </c>
      <c r="E18" s="41"/>
      <c r="F18" s="42"/>
      <c r="G18" s="41"/>
    </row>
    <row r="19" spans="1:7" x14ac:dyDescent="0.2">
      <c r="A19" t="s">
        <v>98</v>
      </c>
      <c r="B19" s="1">
        <f>F14/B9</f>
        <v>800000</v>
      </c>
      <c r="C19" t="e">
        <f ca="1">"&lt;-- "&amp;_xlfn.FORMULATEXT(B19)</f>
        <v>#NAME?</v>
      </c>
      <c r="E19" s="41"/>
      <c r="F19" s="43"/>
      <c r="G19" s="41"/>
    </row>
    <row r="20" spans="1:7" x14ac:dyDescent="0.2">
      <c r="A20" t="s">
        <v>115</v>
      </c>
      <c r="B20" s="36">
        <f>F16/B9</f>
        <v>600000</v>
      </c>
      <c r="C20" t="e">
        <f ca="1">"&lt;-- "&amp;_xlfn.FORMULATEXT(B20)</f>
        <v>#NAME?</v>
      </c>
      <c r="E20" s="41"/>
      <c r="F20" s="42"/>
      <c r="G20" s="41"/>
    </row>
    <row r="21" spans="1:7" x14ac:dyDescent="0.2">
      <c r="A21" t="s">
        <v>99</v>
      </c>
      <c r="B21" s="1">
        <f>B19-B20</f>
        <v>200000</v>
      </c>
      <c r="C21" t="e">
        <f ca="1">"&lt;-- "&amp;_xlfn.FORMULATEXT(B21)</f>
        <v>#NAME?</v>
      </c>
      <c r="E21" s="41"/>
      <c r="F21" s="43"/>
      <c r="G21" s="41"/>
    </row>
    <row r="22" spans="1:7" x14ac:dyDescent="0.2">
      <c r="A22" t="s">
        <v>100</v>
      </c>
      <c r="B22" s="36">
        <f>B7*B21</f>
        <v>80000</v>
      </c>
      <c r="C22" t="e">
        <f ca="1">"&lt;-- "&amp;_xlfn.FORMULATEXT(B22)</f>
        <v>#NAME?</v>
      </c>
    </row>
    <row r="23" spans="1:7" x14ac:dyDescent="0.2">
      <c r="A23" s="12" t="s">
        <v>101</v>
      </c>
      <c r="B23" s="38">
        <f>B19-B22</f>
        <v>720000</v>
      </c>
      <c r="C23" t="e">
        <f ca="1">"&lt;-- "&amp;_xlfn.FORMULATEXT(B23)</f>
        <v>#NAME?</v>
      </c>
    </row>
    <row r="25" spans="1:7" ht="51" x14ac:dyDescent="0.2">
      <c r="A25" s="14" t="s">
        <v>102</v>
      </c>
      <c r="B25" s="15" t="s">
        <v>119</v>
      </c>
    </row>
    <row r="26" spans="1:7" x14ac:dyDescent="0.2">
      <c r="A26" s="33">
        <v>1</v>
      </c>
      <c r="B26" s="1">
        <f>$B$16</f>
        <v>152000</v>
      </c>
      <c r="C26" t="e">
        <f ca="1">"&lt;-- "&amp;_xlfn.FORMULATEXT(B26)</f>
        <v>#NAME?</v>
      </c>
    </row>
    <row r="27" spans="1:7" x14ac:dyDescent="0.2">
      <c r="A27" s="33">
        <v>2</v>
      </c>
      <c r="B27" s="1">
        <f t="shared" ref="B27:B34" si="0">$B$16</f>
        <v>152000</v>
      </c>
    </row>
    <row r="28" spans="1:7" x14ac:dyDescent="0.2">
      <c r="A28" s="33">
        <v>3</v>
      </c>
      <c r="B28" s="1">
        <f t="shared" si="0"/>
        <v>152000</v>
      </c>
    </row>
    <row r="29" spans="1:7" x14ac:dyDescent="0.2">
      <c r="A29" s="33">
        <v>4</v>
      </c>
      <c r="B29" s="1">
        <f t="shared" si="0"/>
        <v>152000</v>
      </c>
    </row>
    <row r="30" spans="1:7" x14ac:dyDescent="0.2">
      <c r="A30" s="33">
        <v>5</v>
      </c>
      <c r="B30" s="1">
        <f t="shared" si="0"/>
        <v>152000</v>
      </c>
    </row>
    <row r="31" spans="1:7" x14ac:dyDescent="0.2">
      <c r="A31" s="33">
        <v>6</v>
      </c>
      <c r="B31" s="1">
        <f t="shared" si="0"/>
        <v>152000</v>
      </c>
    </row>
    <row r="32" spans="1:7" x14ac:dyDescent="0.2">
      <c r="A32" s="33">
        <v>7</v>
      </c>
      <c r="B32" s="1">
        <f t="shared" si="0"/>
        <v>152000</v>
      </c>
    </row>
    <row r="33" spans="1:3" x14ac:dyDescent="0.2">
      <c r="A33" s="33">
        <v>8</v>
      </c>
      <c r="B33" s="1">
        <f t="shared" si="0"/>
        <v>152000</v>
      </c>
    </row>
    <row r="34" spans="1:3" x14ac:dyDescent="0.2">
      <c r="A34" s="33">
        <v>9</v>
      </c>
      <c r="B34" s="1">
        <f t="shared" si="0"/>
        <v>152000</v>
      </c>
    </row>
    <row r="35" spans="1:3" x14ac:dyDescent="0.2">
      <c r="A35" s="33">
        <v>10</v>
      </c>
      <c r="B35" s="1">
        <f>$B$16+B23</f>
        <v>872000</v>
      </c>
      <c r="C35" t="e">
        <f ca="1">"&lt;-- "&amp;_xlfn.FORMULATEXT(B35)</f>
        <v>#NAME?</v>
      </c>
    </row>
    <row r="37" spans="1:3" ht="25.5" x14ac:dyDescent="0.2">
      <c r="A37" s="44" t="s">
        <v>118</v>
      </c>
      <c r="B37" s="39">
        <f>NPV(B8,B26:B35)</f>
        <v>820667.53300630709</v>
      </c>
      <c r="C37" t="e">
        <f ca="1">GetFormula(B37)</f>
        <v>#NAME?</v>
      </c>
    </row>
  </sheetData>
  <mergeCells count="1">
    <mergeCell ref="A1:G1"/>
  </mergeCells>
  <phoneticPr fontId="13" type="noConversion"/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F32"/>
  <sheetViews>
    <sheetView workbookViewId="0">
      <selection activeCell="H14" sqref="H14"/>
    </sheetView>
  </sheetViews>
  <sheetFormatPr defaultRowHeight="12.75" x14ac:dyDescent="0.2"/>
  <cols>
    <col min="1" max="1" width="29.42578125" customWidth="1"/>
    <col min="2" max="2" width="12.28515625" customWidth="1"/>
    <col min="3" max="3" width="21.85546875" bestFit="1" customWidth="1"/>
  </cols>
  <sheetData>
    <row r="1" spans="1:3" ht="18" x14ac:dyDescent="0.25">
      <c r="A1" s="101" t="s">
        <v>120</v>
      </c>
      <c r="B1" s="101"/>
      <c r="C1" s="101"/>
    </row>
    <row r="2" spans="1:3" x14ac:dyDescent="0.2">
      <c r="A2" t="s">
        <v>121</v>
      </c>
      <c r="B2" s="1">
        <v>1000000</v>
      </c>
    </row>
    <row r="3" spans="1:3" x14ac:dyDescent="0.2">
      <c r="A3" t="s">
        <v>122</v>
      </c>
      <c r="B3" s="2">
        <v>0.25</v>
      </c>
    </row>
    <row r="4" spans="1:3" x14ac:dyDescent="0.2">
      <c r="A4" t="s">
        <v>0</v>
      </c>
      <c r="B4" s="2">
        <v>0.15</v>
      </c>
    </row>
    <row r="5" spans="1:3" x14ac:dyDescent="0.2">
      <c r="A5" t="s">
        <v>123</v>
      </c>
      <c r="B5" s="2">
        <v>0.06</v>
      </c>
    </row>
    <row r="6" spans="1:3" x14ac:dyDescent="0.2">
      <c r="A6" t="s">
        <v>49</v>
      </c>
      <c r="B6" s="1">
        <v>5000000</v>
      </c>
    </row>
    <row r="8" spans="1:3" ht="25.5" x14ac:dyDescent="0.2">
      <c r="A8" s="14" t="s">
        <v>102</v>
      </c>
      <c r="B8" s="15" t="s">
        <v>124</v>
      </c>
    </row>
    <row r="9" spans="1:3" x14ac:dyDescent="0.2">
      <c r="A9" s="33">
        <v>1</v>
      </c>
      <c r="B9" s="36">
        <f>$B$2*(1+$B$3)</f>
        <v>1250000</v>
      </c>
      <c r="C9" t="e">
        <f ca="1">GetFormula(B9)</f>
        <v>#NAME?</v>
      </c>
    </row>
    <row r="10" spans="1:3" x14ac:dyDescent="0.2">
      <c r="A10" s="33">
        <v>2</v>
      </c>
      <c r="B10" s="36">
        <f>B9*(1+$B$3)</f>
        <v>1562500</v>
      </c>
      <c r="C10" t="e">
        <f ca="1">GetFormula(B10)</f>
        <v>#NAME?</v>
      </c>
    </row>
    <row r="11" spans="1:3" x14ac:dyDescent="0.2">
      <c r="A11" s="33">
        <v>3</v>
      </c>
      <c r="B11" s="36">
        <f>B10*(1+$B$3)</f>
        <v>1953125</v>
      </c>
      <c r="C11" t="e">
        <f ca="1">GetFormula(B11)</f>
        <v>#NAME?</v>
      </c>
    </row>
    <row r="12" spans="1:3" x14ac:dyDescent="0.2">
      <c r="A12" s="33">
        <v>4</v>
      </c>
      <c r="B12" s="36">
        <f>B11*(1+$B$3)</f>
        <v>2441406.25</v>
      </c>
    </row>
    <row r="13" spans="1:3" x14ac:dyDescent="0.2">
      <c r="A13" s="33">
        <v>5</v>
      </c>
      <c r="B13" s="36">
        <f>B12*(1+$B$3)</f>
        <v>3051757.8125</v>
      </c>
    </row>
    <row r="15" spans="1:3" x14ac:dyDescent="0.2">
      <c r="A15" s="13" t="s">
        <v>125</v>
      </c>
    </row>
    <row r="16" spans="1:3" x14ac:dyDescent="0.2">
      <c r="A16" t="s">
        <v>126</v>
      </c>
      <c r="B16" s="1">
        <f>B13</f>
        <v>3051757.8125</v>
      </c>
      <c r="C16" t="e">
        <f ca="1">GetFormula(B16)</f>
        <v>#NAME?</v>
      </c>
    </row>
    <row r="17" spans="1:6" x14ac:dyDescent="0.2">
      <c r="A17" s="60" t="s">
        <v>127</v>
      </c>
      <c r="B17" s="61">
        <f>B16*(1+B5)/(B4-B5)</f>
        <v>35942925.347222224</v>
      </c>
      <c r="C17" t="e">
        <f ca="1">GetFormula(B17)</f>
        <v>#NAME?</v>
      </c>
    </row>
    <row r="19" spans="1:6" x14ac:dyDescent="0.2">
      <c r="A19" s="13" t="s">
        <v>128</v>
      </c>
    </row>
    <row r="20" spans="1:6" x14ac:dyDescent="0.2">
      <c r="A20" t="s">
        <v>129</v>
      </c>
      <c r="B20" s="36">
        <f>NPV(B4,B9:B13)</f>
        <v>6465787.3267475041</v>
      </c>
      <c r="C20" t="e">
        <f ca="1">GetFormula(B20)</f>
        <v>#NAME?</v>
      </c>
    </row>
    <row r="21" spans="1:6" x14ac:dyDescent="0.2">
      <c r="A21" t="s">
        <v>130</v>
      </c>
      <c r="B21" s="36">
        <f>B17/(1+B4)^5</f>
        <v>17869986.281202096</v>
      </c>
      <c r="C21" t="e">
        <f ca="1">GetFormula(B21)</f>
        <v>#NAME?</v>
      </c>
    </row>
    <row r="22" spans="1:6" x14ac:dyDescent="0.2">
      <c r="A22" s="60" t="s">
        <v>131</v>
      </c>
      <c r="B22" s="61">
        <f>B21+B20</f>
        <v>24335773.6079496</v>
      </c>
      <c r="C22" t="e">
        <f ca="1">GetFormula(B22)</f>
        <v>#NAME?</v>
      </c>
    </row>
    <row r="23" spans="1:6" x14ac:dyDescent="0.2">
      <c r="A23" t="s">
        <v>132</v>
      </c>
      <c r="B23" s="5">
        <f>B22/B6</f>
        <v>4.8671547215899196</v>
      </c>
      <c r="C23" t="e">
        <f ca="1">GetFormula(B23)</f>
        <v>#NAME?</v>
      </c>
    </row>
    <row r="26" spans="1:6" ht="52.9" customHeight="1" x14ac:dyDescent="0.2">
      <c r="A26" s="103" t="str">
        <f>"Sensitivity analysis:  Per-share value of Formanis 
with different WACC and long-term growth. "&amp;CHAR(10)&amp;"Year 1-5 growth rate = "&amp;TEXT(B3,"0%")&amp;"."</f>
        <v>Sensitivity analysis:  Per-share value of Formanis 
with different WACC and long-term growth. 
Year 1-5 growth rate = 25%.</v>
      </c>
      <c r="B26" s="103"/>
      <c r="C26" s="103"/>
    </row>
    <row r="27" spans="1:6" x14ac:dyDescent="0.2">
      <c r="C27" t="s">
        <v>133</v>
      </c>
    </row>
    <row r="28" spans="1:6" x14ac:dyDescent="0.2">
      <c r="B28" s="5">
        <f>B23</f>
        <v>4.8671547215899196</v>
      </c>
      <c r="C28" s="46">
        <v>0</v>
      </c>
      <c r="D28" s="46">
        <v>0.02</v>
      </c>
      <c r="E28" s="46">
        <v>0.04</v>
      </c>
      <c r="F28" s="46">
        <v>0.06</v>
      </c>
    </row>
    <row r="29" spans="1:6" x14ac:dyDescent="0.2">
      <c r="A29" s="47" t="s">
        <v>134</v>
      </c>
      <c r="B29" s="46">
        <v>0.15</v>
      </c>
      <c r="C29" s="45">
        <f t="dataTable" ref="C29:F32" dt2D="1" dtr="0" r1="B5" r2="B4"/>
        <v>3.3161747802025685</v>
      </c>
      <c r="D29" s="45">
        <v>3.6740932282150345</v>
      </c>
      <c r="E29" s="45">
        <v>4.1621638391411242</v>
      </c>
      <c r="F29" s="45">
        <v>4.8671547215899196</v>
      </c>
    </row>
    <row r="30" spans="1:6" x14ac:dyDescent="0.2">
      <c r="B30" s="46">
        <v>0.2</v>
      </c>
      <c r="C30" s="45">
        <v>2.3585981204185957</v>
      </c>
      <c r="D30" s="45">
        <v>2.5221225230945645</v>
      </c>
      <c r="E30" s="45">
        <v>2.7265280264395257</v>
      </c>
      <c r="F30" s="45">
        <v>2.9893351021687611</v>
      </c>
    </row>
    <row r="31" spans="1:6" x14ac:dyDescent="0.2">
      <c r="B31" s="46">
        <v>0.25</v>
      </c>
      <c r="C31" s="45">
        <v>1.8</v>
      </c>
      <c r="D31" s="45">
        <v>1.8869565217391304</v>
      </c>
      <c r="E31" s="45">
        <v>1.9904761904761903</v>
      </c>
      <c r="F31" s="45">
        <v>2.1157894736842104</v>
      </c>
    </row>
    <row r="32" spans="1:6" x14ac:dyDescent="0.2">
      <c r="B32" s="46">
        <v>0.3</v>
      </c>
      <c r="C32" s="45">
        <v>1.4383158707094754</v>
      </c>
      <c r="D32" s="45">
        <v>1.4891970725564829</v>
      </c>
      <c r="E32" s="45">
        <v>1.5479061516107224</v>
      </c>
      <c r="F32" s="45">
        <v>1.6164000771740015</v>
      </c>
    </row>
  </sheetData>
  <mergeCells count="2">
    <mergeCell ref="A1:C1"/>
    <mergeCell ref="A26:C26"/>
  </mergeCells>
  <phoneticPr fontId="13" type="noConversion"/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F32"/>
  <sheetViews>
    <sheetView topLeftCell="A13" workbookViewId="0">
      <selection activeCell="C24" sqref="C24"/>
    </sheetView>
  </sheetViews>
  <sheetFormatPr defaultRowHeight="12.75" x14ac:dyDescent="0.2"/>
  <cols>
    <col min="1" max="1" width="29.42578125" customWidth="1"/>
    <col min="2" max="2" width="12.28515625" customWidth="1"/>
    <col min="3" max="3" width="21.85546875" bestFit="1" customWidth="1"/>
  </cols>
  <sheetData>
    <row r="1" spans="1:3" ht="18" x14ac:dyDescent="0.25">
      <c r="A1" s="101" t="s">
        <v>120</v>
      </c>
      <c r="B1" s="101"/>
      <c r="C1" s="101"/>
    </row>
    <row r="2" spans="1:3" x14ac:dyDescent="0.2">
      <c r="A2" t="s">
        <v>121</v>
      </c>
      <c r="B2" s="1">
        <v>1000000</v>
      </c>
    </row>
    <row r="3" spans="1:3" x14ac:dyDescent="0.2">
      <c r="A3" t="s">
        <v>122</v>
      </c>
      <c r="B3" s="2">
        <v>0.2</v>
      </c>
    </row>
    <row r="4" spans="1:3" x14ac:dyDescent="0.2">
      <c r="A4" t="s">
        <v>0</v>
      </c>
      <c r="B4" s="2">
        <v>0.15</v>
      </c>
    </row>
    <row r="5" spans="1:3" x14ac:dyDescent="0.2">
      <c r="A5" t="s">
        <v>123</v>
      </c>
      <c r="B5" s="2">
        <v>0.06</v>
      </c>
    </row>
    <row r="6" spans="1:3" x14ac:dyDescent="0.2">
      <c r="A6" t="s">
        <v>49</v>
      </c>
      <c r="B6" s="1">
        <v>5000000</v>
      </c>
    </row>
    <row r="8" spans="1:3" ht="25.5" x14ac:dyDescent="0.2">
      <c r="A8" s="14" t="s">
        <v>102</v>
      </c>
      <c r="B8" s="15" t="s">
        <v>124</v>
      </c>
    </row>
    <row r="9" spans="1:3" x14ac:dyDescent="0.2">
      <c r="A9" s="33">
        <v>1</v>
      </c>
      <c r="B9" s="53">
        <f>$B$2*(1+$B$3)</f>
        <v>1200000</v>
      </c>
      <c r="C9" t="e">
        <f ca="1">"&lt;-- "&amp;_xlfn.FORMULATEXT(B9)</f>
        <v>#NAME?</v>
      </c>
    </row>
    <row r="10" spans="1:3" x14ac:dyDescent="0.2">
      <c r="A10" s="33">
        <v>2</v>
      </c>
      <c r="B10" s="53">
        <f>B9*(1+$B$3)</f>
        <v>1440000</v>
      </c>
      <c r="C10" t="e">
        <f ca="1">"&lt;-- "&amp;_xlfn.FORMULATEXT(B10)</f>
        <v>#NAME?</v>
      </c>
    </row>
    <row r="11" spans="1:3" x14ac:dyDescent="0.2">
      <c r="A11" s="33">
        <v>3</v>
      </c>
      <c r="B11" s="53">
        <f>B10*(1+$B$3)</f>
        <v>1728000</v>
      </c>
      <c r="C11" t="e">
        <f ca="1">"&lt;-- "&amp;_xlfn.FORMULATEXT(B11)</f>
        <v>#NAME?</v>
      </c>
    </row>
    <row r="12" spans="1:3" x14ac:dyDescent="0.2">
      <c r="A12" s="33">
        <v>4</v>
      </c>
      <c r="B12" s="53">
        <f>B11*(1+$B$3)</f>
        <v>2073600</v>
      </c>
    </row>
    <row r="13" spans="1:3" x14ac:dyDescent="0.2">
      <c r="A13" s="33">
        <v>5</v>
      </c>
      <c r="B13" s="53">
        <f>B12*(1+$B$3)</f>
        <v>2488320</v>
      </c>
    </row>
    <row r="15" spans="1:3" x14ac:dyDescent="0.2">
      <c r="A15" s="13" t="s">
        <v>125</v>
      </c>
    </row>
    <row r="16" spans="1:3" x14ac:dyDescent="0.2">
      <c r="A16" t="s">
        <v>126</v>
      </c>
      <c r="B16" s="1">
        <f>B13</f>
        <v>2488320</v>
      </c>
      <c r="C16" t="e">
        <f ca="1">"&lt;-- "&amp;_xlfn.FORMULATEXT(B16)</f>
        <v>#NAME?</v>
      </c>
    </row>
    <row r="17" spans="1:6" x14ac:dyDescent="0.2">
      <c r="A17" t="s">
        <v>127</v>
      </c>
      <c r="B17" s="53">
        <f>B16*(1+B5)/(B4-B5)</f>
        <v>29306880.000000004</v>
      </c>
      <c r="C17" t="e">
        <f ca="1">"&lt;-- "&amp;_xlfn.FORMULATEXT(B17)</f>
        <v>#NAME?</v>
      </c>
    </row>
    <row r="19" spans="1:6" x14ac:dyDescent="0.2">
      <c r="A19" s="13" t="s">
        <v>128</v>
      </c>
    </row>
    <row r="20" spans="1:6" x14ac:dyDescent="0.2">
      <c r="A20" t="s">
        <v>129</v>
      </c>
      <c r="B20" s="53">
        <f>NPV(B4,B9:B13)</f>
        <v>5691235.5354585685</v>
      </c>
      <c r="C20" t="e">
        <f ca="1">"&lt;-- "&amp;_xlfn.FORMULATEXT(B20)</f>
        <v>#NAME?</v>
      </c>
    </row>
    <row r="21" spans="1:6" x14ac:dyDescent="0.2">
      <c r="A21" t="s">
        <v>130</v>
      </c>
      <c r="B21" s="53">
        <f>B17/(1+B4)^5</f>
        <v>14570698.920178747</v>
      </c>
      <c r="C21" t="e">
        <f ca="1">"&lt;-- "&amp;_xlfn.FORMULATEXT(B21)</f>
        <v>#NAME?</v>
      </c>
    </row>
    <row r="22" spans="1:6" x14ac:dyDescent="0.2">
      <c r="A22" t="s">
        <v>131</v>
      </c>
      <c r="B22" s="53">
        <f>B21+B20</f>
        <v>20261934.455637313</v>
      </c>
      <c r="C22" t="e">
        <f ca="1">"&lt;-- "&amp;_xlfn.FORMULATEXT(B22)</f>
        <v>#NAME?</v>
      </c>
    </row>
    <row r="23" spans="1:6" x14ac:dyDescent="0.2">
      <c r="A23" t="s">
        <v>132</v>
      </c>
      <c r="B23" s="5">
        <f>B22/B6</f>
        <v>4.0523868911274628</v>
      </c>
      <c r="C23" t="e">
        <f ca="1">"&lt;-- "&amp;_xlfn.FORMULATEXT(B23)</f>
        <v>#NAME?</v>
      </c>
    </row>
    <row r="26" spans="1:6" ht="52.9" customHeight="1" x14ac:dyDescent="0.2">
      <c r="A26" s="103" t="str">
        <f>"Sensitivity analysis:  Per-share value of Formanis 
with different WACC and long-term growth. "&amp;CHAR(10)&amp;"Year 1-5 growth rate = "&amp;TEXT(B3,"0%")&amp;"."</f>
        <v>Sensitivity analysis:  Per-share value of Formanis 
with different WACC and long-term growth. 
Year 1-5 growth rate = 20%.</v>
      </c>
      <c r="B26" s="103"/>
      <c r="C26" s="103"/>
    </row>
    <row r="27" spans="1:6" x14ac:dyDescent="0.2">
      <c r="C27" t="s">
        <v>133</v>
      </c>
    </row>
    <row r="28" spans="1:6" x14ac:dyDescent="0.2">
      <c r="B28" s="5">
        <f>B23</f>
        <v>4.0523868911274628</v>
      </c>
      <c r="C28" s="46">
        <v>0</v>
      </c>
      <c r="D28" s="46">
        <v>0.02</v>
      </c>
      <c r="E28" s="46">
        <v>0.04</v>
      </c>
      <c r="F28" s="46">
        <v>0.06</v>
      </c>
    </row>
    <row r="29" spans="1:6" x14ac:dyDescent="0.2">
      <c r="A29" s="47" t="s">
        <v>134</v>
      </c>
      <c r="B29" s="46">
        <v>0.15</v>
      </c>
      <c r="C29" s="54">
        <f t="dataTable" ref="C29:F32" dt2D="1" dtr="0" r1="B5" r2="B4"/>
        <v>2.787760192394968</v>
      </c>
      <c r="D29" s="54">
        <v>3.0795971228716974</v>
      </c>
      <c r="E29" s="54">
        <v>3.4775565735217842</v>
      </c>
      <c r="F29" s="54">
        <v>4.0523868911274628</v>
      </c>
    </row>
    <row r="30" spans="1:6" x14ac:dyDescent="0.2">
      <c r="B30" s="46">
        <v>0.2</v>
      </c>
      <c r="C30" s="54">
        <v>2</v>
      </c>
      <c r="D30" s="54">
        <v>2.1333333333333333</v>
      </c>
      <c r="E30" s="54">
        <v>2.2999999999999998</v>
      </c>
      <c r="F30" s="54">
        <v>2.5142857142857142</v>
      </c>
    </row>
    <row r="31" spans="1:6" x14ac:dyDescent="0.2">
      <c r="B31" s="46">
        <v>0.25</v>
      </c>
      <c r="C31" s="54">
        <v>1.5385092096000001</v>
      </c>
      <c r="D31" s="54">
        <v>1.6094111833043478</v>
      </c>
      <c r="E31" s="54">
        <v>1.693818294857143</v>
      </c>
      <c r="F31" s="54">
        <v>1.7959953246315792</v>
      </c>
    </row>
    <row r="32" spans="1:6" x14ac:dyDescent="0.2">
      <c r="B32" s="46">
        <v>0.3</v>
      </c>
      <c r="C32" s="54">
        <v>1.2383600014005109</v>
      </c>
      <c r="D32" s="54">
        <v>1.2798471442076356</v>
      </c>
      <c r="E32" s="54">
        <v>1.3277169243697025</v>
      </c>
      <c r="F32" s="54">
        <v>1.3835650012254472</v>
      </c>
    </row>
  </sheetData>
  <mergeCells count="2">
    <mergeCell ref="A1:C1"/>
    <mergeCell ref="A26:C26"/>
  </mergeCells>
  <phoneticPr fontId="13" type="noConversion"/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F32"/>
  <sheetViews>
    <sheetView workbookViewId="0">
      <selection activeCell="F34" sqref="F34"/>
    </sheetView>
  </sheetViews>
  <sheetFormatPr defaultColWidth="9.140625" defaultRowHeight="12.75" x14ac:dyDescent="0.2"/>
  <cols>
    <col min="1" max="1" width="28.42578125" style="20" bestFit="1" customWidth="1"/>
    <col min="2" max="2" width="15.140625" style="20" bestFit="1" customWidth="1"/>
    <col min="3" max="3" width="11.42578125" style="20" bestFit="1" customWidth="1"/>
    <col min="4" max="4" width="11" style="20" bestFit="1" customWidth="1"/>
    <col min="5" max="5" width="12.28515625" style="20" bestFit="1" customWidth="1"/>
    <col min="6" max="6" width="11.85546875" style="20" bestFit="1" customWidth="1"/>
    <col min="7" max="7" width="11.42578125" style="20" bestFit="1" customWidth="1"/>
    <col min="8" max="16384" width="9.140625" style="20"/>
  </cols>
  <sheetData>
    <row r="1" spans="1:6" ht="39" customHeight="1" x14ac:dyDescent="0.2">
      <c r="A1" s="104" t="s">
        <v>42</v>
      </c>
      <c r="B1" s="104"/>
      <c r="C1" s="104"/>
      <c r="D1" s="104"/>
      <c r="E1" s="104"/>
      <c r="F1" s="104"/>
    </row>
    <row r="2" spans="1:6" x14ac:dyDescent="0.2">
      <c r="B2" s="25">
        <v>2010</v>
      </c>
      <c r="C2" s="25">
        <f t="shared" ref="C2:E2" si="0">1+B2</f>
        <v>2011</v>
      </c>
      <c r="D2" s="25">
        <f t="shared" si="0"/>
        <v>2012</v>
      </c>
      <c r="E2" s="25">
        <f t="shared" si="0"/>
        <v>2013</v>
      </c>
      <c r="F2" s="25">
        <f>1+E2</f>
        <v>2014</v>
      </c>
    </row>
    <row r="3" spans="1:6" x14ac:dyDescent="0.2">
      <c r="A3" s="20" t="s">
        <v>43</v>
      </c>
      <c r="B3" s="62">
        <v>1440000</v>
      </c>
      <c r="C3" s="62">
        <v>2410000</v>
      </c>
      <c r="D3" s="62">
        <v>3500000</v>
      </c>
      <c r="E3" s="62">
        <v>6820000</v>
      </c>
      <c r="F3" s="62">
        <v>4830000</v>
      </c>
    </row>
    <row r="4" spans="1:6" x14ac:dyDescent="0.2">
      <c r="A4" s="20" t="s">
        <v>44</v>
      </c>
      <c r="B4" s="62">
        <v>3950000</v>
      </c>
      <c r="C4" s="62">
        <v>3997000</v>
      </c>
      <c r="D4" s="62">
        <v>4238000</v>
      </c>
      <c r="E4" s="62">
        <v>4875000</v>
      </c>
      <c r="F4" s="62">
        <v>5100000</v>
      </c>
    </row>
    <row r="5" spans="1:6" x14ac:dyDescent="0.2">
      <c r="A5" s="30" t="s">
        <v>52</v>
      </c>
      <c r="B5" s="29">
        <f>B4+B3</f>
        <v>5390000</v>
      </c>
      <c r="C5" s="29">
        <f>C4+C3</f>
        <v>6407000</v>
      </c>
      <c r="D5" s="29">
        <f>D4+D3</f>
        <v>7738000</v>
      </c>
      <c r="E5" s="29">
        <f>E4+E3</f>
        <v>11695000</v>
      </c>
      <c r="F5" s="29">
        <f>F4+F3</f>
        <v>9930000</v>
      </c>
    </row>
    <row r="6" spans="1:6" x14ac:dyDescent="0.2">
      <c r="B6" s="21"/>
      <c r="C6" s="21"/>
      <c r="D6" s="21"/>
      <c r="E6" s="21"/>
      <c r="F6" s="21"/>
    </row>
    <row r="7" spans="1:6" ht="25.5" x14ac:dyDescent="0.2">
      <c r="A7" s="32" t="s">
        <v>184</v>
      </c>
      <c r="B7" s="31">
        <f>(F5/B5)^(1/4)-1</f>
        <v>0.16503808012267784</v>
      </c>
      <c r="C7" s="20" t="e">
        <f ca="1">"&lt;-- "&amp;_xlfn.FORMULATEXT(B7)</f>
        <v>#NAME?</v>
      </c>
    </row>
    <row r="9" spans="1:6" ht="15.75" x14ac:dyDescent="0.3">
      <c r="A9" s="20" t="s">
        <v>51</v>
      </c>
      <c r="B9" s="22">
        <v>0.25</v>
      </c>
    </row>
    <row r="11" spans="1:6" x14ac:dyDescent="0.2">
      <c r="A11" s="24" t="s">
        <v>45</v>
      </c>
    </row>
    <row r="12" spans="1:6" x14ac:dyDescent="0.2">
      <c r="A12" s="20" t="s">
        <v>46</v>
      </c>
      <c r="B12" s="62">
        <f>F5</f>
        <v>9930000</v>
      </c>
      <c r="C12" s="20" t="e">
        <f ca="1">"&lt;-- "&amp;_xlfn.FORMULATEXT(B12)</f>
        <v>#NAME?</v>
      </c>
    </row>
    <row r="13" spans="1:6" x14ac:dyDescent="0.2">
      <c r="A13" s="20" t="s">
        <v>47</v>
      </c>
      <c r="B13" s="26">
        <f>B7</f>
        <v>0.16503808012267784</v>
      </c>
      <c r="C13" s="21"/>
    </row>
    <row r="15" spans="1:6" x14ac:dyDescent="0.2">
      <c r="A15" s="27" t="s">
        <v>48</v>
      </c>
      <c r="B15" s="63">
        <f>B12*(1+B13)/(B9-B13)</f>
        <v>136164862.47394836</v>
      </c>
      <c r="C15" s="20" t="e">
        <f ca="1">GetFormula(B15)</f>
        <v>#NAME?</v>
      </c>
    </row>
    <row r="16" spans="1:6" x14ac:dyDescent="0.2">
      <c r="A16" s="20" t="s">
        <v>49</v>
      </c>
      <c r="B16" s="62">
        <v>10000000</v>
      </c>
    </row>
    <row r="17" spans="1:3" x14ac:dyDescent="0.2">
      <c r="A17" s="27" t="s">
        <v>50</v>
      </c>
      <c r="B17" s="28">
        <f>B15/B16</f>
        <v>13.616486247394835</v>
      </c>
      <c r="C17" s="20" t="e">
        <f ca="1">GetFormula(B17)</f>
        <v>#NAME?</v>
      </c>
    </row>
    <row r="31" spans="1:3" x14ac:dyDescent="0.2">
      <c r="B31" s="23"/>
    </row>
    <row r="32" spans="1:3" x14ac:dyDescent="0.2">
      <c r="B32" s="23"/>
    </row>
  </sheetData>
  <mergeCells count="1">
    <mergeCell ref="A1:F1"/>
  </mergeCells>
  <phoneticPr fontId="12" type="noConversion"/>
  <printOptions headings="1" gridLines="1"/>
  <pageMargins left="0.75" right="0.75" top="1" bottom="1" header="0.5" footer="0.5"/>
  <pageSetup paperSize="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D9"/>
  <sheetViews>
    <sheetView workbookViewId="0">
      <selection activeCell="G10" sqref="G10"/>
    </sheetView>
  </sheetViews>
  <sheetFormatPr defaultRowHeight="12.75" x14ac:dyDescent="0.2"/>
  <cols>
    <col min="1" max="1" width="30" customWidth="1"/>
    <col min="2" max="2" width="13.85546875" bestFit="1" customWidth="1"/>
    <col min="3" max="3" width="12.42578125" bestFit="1" customWidth="1"/>
    <col min="4" max="4" width="10.140625" bestFit="1" customWidth="1"/>
    <col min="7" max="8" width="16.85546875" customWidth="1"/>
  </cols>
  <sheetData>
    <row r="1" spans="1:4" ht="18" x14ac:dyDescent="0.2">
      <c r="A1" s="105" t="s">
        <v>57</v>
      </c>
      <c r="B1" s="106"/>
      <c r="C1" s="106"/>
      <c r="D1" s="106"/>
    </row>
    <row r="2" spans="1:4" ht="38.25" x14ac:dyDescent="0.2">
      <c r="A2" s="14"/>
      <c r="B2" s="55" t="s">
        <v>187</v>
      </c>
      <c r="C2" s="55" t="s">
        <v>186</v>
      </c>
    </row>
    <row r="3" spans="1:4" x14ac:dyDescent="0.2">
      <c r="A3" s="56" t="s">
        <v>53</v>
      </c>
      <c r="B3" s="1">
        <v>30000</v>
      </c>
      <c r="C3" s="1">
        <v>15000</v>
      </c>
    </row>
    <row r="4" spans="1:4" x14ac:dyDescent="0.2">
      <c r="A4" s="56" t="s">
        <v>54</v>
      </c>
      <c r="B4" s="1">
        <v>3000</v>
      </c>
      <c r="C4" s="1">
        <v>1500</v>
      </c>
    </row>
    <row r="5" spans="1:4" x14ac:dyDescent="0.2">
      <c r="A5" s="57" t="s">
        <v>18</v>
      </c>
      <c r="B5" s="1">
        <v>1000</v>
      </c>
      <c r="C5" s="1">
        <v>1000</v>
      </c>
    </row>
    <row r="6" spans="1:4" x14ac:dyDescent="0.2">
      <c r="A6" s="57" t="s">
        <v>105</v>
      </c>
      <c r="B6" s="1">
        <v>24</v>
      </c>
      <c r="C6" s="1">
        <v>18</v>
      </c>
    </row>
    <row r="7" spans="1:4" x14ac:dyDescent="0.2">
      <c r="A7" s="57" t="s">
        <v>55</v>
      </c>
      <c r="B7" s="1">
        <f>B6*B5</f>
        <v>24000</v>
      </c>
      <c r="C7" s="1">
        <f>C6*C5</f>
        <v>18000</v>
      </c>
      <c r="D7" t="e">
        <f ca="1">"&lt;-- "&amp;_xlfn.FORMULATEXT(C7)</f>
        <v>#NAME?</v>
      </c>
    </row>
    <row r="8" spans="1:4" x14ac:dyDescent="0.2">
      <c r="A8" s="57" t="s">
        <v>56</v>
      </c>
      <c r="B8">
        <f>B4/B5</f>
        <v>3</v>
      </c>
      <c r="C8">
        <f>C4/C5</f>
        <v>1.5</v>
      </c>
      <c r="D8" t="e">
        <f ca="1">"&lt;-- "&amp;_xlfn.FORMULATEXT(C8)</f>
        <v>#NAME?</v>
      </c>
    </row>
    <row r="9" spans="1:4" x14ac:dyDescent="0.2">
      <c r="A9" s="57" t="s">
        <v>170</v>
      </c>
      <c r="B9" s="6">
        <f>B6/B8</f>
        <v>8</v>
      </c>
      <c r="C9" s="6">
        <f>C6/C8</f>
        <v>12</v>
      </c>
      <c r="D9" t="e">
        <f ca="1">"&lt;-- "&amp;_xlfn.FORMULATEXT(C8)</f>
        <v>#NAME?</v>
      </c>
    </row>
  </sheetData>
  <mergeCells count="1">
    <mergeCell ref="A1:D1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W50"/>
  <sheetViews>
    <sheetView workbookViewId="0">
      <selection activeCell="F15" sqref="F15"/>
    </sheetView>
  </sheetViews>
  <sheetFormatPr defaultRowHeight="12.75" x14ac:dyDescent="0.2"/>
  <cols>
    <col min="1" max="1" width="36.42578125" bestFit="1" customWidth="1"/>
    <col min="2" max="3" width="6.42578125" bestFit="1" customWidth="1"/>
    <col min="4" max="4" width="24.140625" bestFit="1" customWidth="1"/>
    <col min="5" max="5" width="13.42578125" style="33" bestFit="1" customWidth="1"/>
    <col min="6" max="6" width="31.85546875" bestFit="1" customWidth="1"/>
    <col min="11" max="11" width="43.85546875" bestFit="1" customWidth="1"/>
    <col min="12" max="12" width="11.42578125" bestFit="1" customWidth="1"/>
    <col min="14" max="14" width="32.85546875" bestFit="1" customWidth="1"/>
    <col min="15" max="15" width="11.42578125" bestFit="1" customWidth="1"/>
    <col min="19" max="19" width="43.85546875" bestFit="1" customWidth="1"/>
    <col min="20" max="20" width="10.42578125" bestFit="1" customWidth="1"/>
    <col min="22" max="22" width="32.85546875" bestFit="1" customWidth="1"/>
    <col min="23" max="23" width="11.42578125" bestFit="1" customWidth="1"/>
  </cols>
  <sheetData>
    <row r="1" spans="1:23" ht="39" customHeight="1" x14ac:dyDescent="0.25">
      <c r="A1" s="108" t="s">
        <v>305</v>
      </c>
      <c r="B1" s="108"/>
      <c r="C1" s="108"/>
      <c r="D1" s="108"/>
      <c r="E1" s="108"/>
      <c r="F1" s="108"/>
    </row>
    <row r="2" spans="1:23" ht="38.25" x14ac:dyDescent="0.2">
      <c r="B2" s="14" t="s">
        <v>58</v>
      </c>
      <c r="C2" s="14" t="s">
        <v>59</v>
      </c>
      <c r="E2" s="15" t="s">
        <v>60</v>
      </c>
      <c r="K2" s="107" t="s">
        <v>282</v>
      </c>
      <c r="L2" s="107"/>
      <c r="M2" s="107"/>
      <c r="N2" s="107"/>
      <c r="S2" s="107" t="s">
        <v>188</v>
      </c>
      <c r="T2" s="107"/>
      <c r="U2" s="107"/>
      <c r="V2" s="107"/>
    </row>
    <row r="3" spans="1:23" x14ac:dyDescent="0.2">
      <c r="A3" t="s">
        <v>61</v>
      </c>
      <c r="B3">
        <f>K5</f>
        <v>54.57</v>
      </c>
      <c r="C3">
        <f>S5</f>
        <v>34.090000000000003</v>
      </c>
      <c r="D3" t="s">
        <v>62</v>
      </c>
    </row>
    <row r="4" spans="1:23" x14ac:dyDescent="0.2">
      <c r="A4" t="s">
        <v>63</v>
      </c>
      <c r="B4" s="6">
        <f>L36</f>
        <v>3.05</v>
      </c>
      <c r="C4" s="6">
        <f>T36</f>
        <v>14.19</v>
      </c>
      <c r="D4" t="s">
        <v>62</v>
      </c>
      <c r="K4" t="s">
        <v>249</v>
      </c>
      <c r="S4" t="s">
        <v>249</v>
      </c>
    </row>
    <row r="5" spans="1:23" x14ac:dyDescent="0.2">
      <c r="A5" s="12" t="s">
        <v>64</v>
      </c>
      <c r="B5" s="17">
        <f>B3/B4</f>
        <v>17.891803278688524</v>
      </c>
      <c r="C5" s="17">
        <f>C3/C4</f>
        <v>2.4023960535588444</v>
      </c>
      <c r="D5" t="e">
        <f ca="1">GetFormula(C5)</f>
        <v>#NAME?</v>
      </c>
      <c r="E5" s="33" t="str">
        <f>IF(B5&gt;C5,"Kroger","Safeway")</f>
        <v>Kroger</v>
      </c>
      <c r="F5" t="e">
        <f ca="1">GetFormula(E5)</f>
        <v>#NAME?</v>
      </c>
      <c r="K5" s="48">
        <v>54.57</v>
      </c>
      <c r="L5" t="s">
        <v>306</v>
      </c>
      <c r="S5">
        <v>34.090000000000003</v>
      </c>
      <c r="T5" t="s">
        <v>307</v>
      </c>
    </row>
    <row r="6" spans="1:23" x14ac:dyDescent="0.2">
      <c r="K6" t="s">
        <v>301</v>
      </c>
      <c r="S6" t="s">
        <v>250</v>
      </c>
    </row>
    <row r="7" spans="1:23" x14ac:dyDescent="0.2">
      <c r="A7" t="s">
        <v>65</v>
      </c>
      <c r="B7">
        <f>L44</f>
        <v>10.28</v>
      </c>
      <c r="C7">
        <f>T44</f>
        <v>24.23</v>
      </c>
      <c r="D7" t="s">
        <v>62</v>
      </c>
      <c r="K7" t="s">
        <v>189</v>
      </c>
      <c r="S7" t="s">
        <v>189</v>
      </c>
    </row>
    <row r="8" spans="1:23" x14ac:dyDescent="0.2">
      <c r="A8" s="12" t="s">
        <v>66</v>
      </c>
      <c r="B8" s="17">
        <f>B3/B7</f>
        <v>5.3083657587548645</v>
      </c>
      <c r="C8" s="17">
        <f>C3/C7</f>
        <v>1.4069335534461413</v>
      </c>
      <c r="D8" t="e">
        <f ca="1">GetFormula(C8)</f>
        <v>#NAME?</v>
      </c>
      <c r="E8" s="33" t="str">
        <f>IF(B8&gt;C8,"Kroger","Safeway")</f>
        <v>Kroger</v>
      </c>
      <c r="F8" t="e">
        <f ca="1">GetFormula(E8)</f>
        <v>#NAME?</v>
      </c>
      <c r="K8" t="s">
        <v>190</v>
      </c>
      <c r="S8" t="s">
        <v>190</v>
      </c>
    </row>
    <row r="9" spans="1:23" ht="13.5" customHeight="1" x14ac:dyDescent="0.2">
      <c r="K9" t="s">
        <v>191</v>
      </c>
      <c r="S9" t="s">
        <v>191</v>
      </c>
    </row>
    <row r="10" spans="1:23" x14ac:dyDescent="0.2">
      <c r="A10" t="s">
        <v>67</v>
      </c>
      <c r="B10" t="str">
        <f>LEFT(O22,FIND("M",O22)-1)</f>
        <v>491.09</v>
      </c>
      <c r="C10" t="str">
        <f>LEFT(W22,FIND("M",W22)-1)</f>
        <v>229.00</v>
      </c>
      <c r="D10" t="s">
        <v>62</v>
      </c>
      <c r="K10" t="s">
        <v>251</v>
      </c>
      <c r="L10" t="s">
        <v>283</v>
      </c>
      <c r="N10" t="s">
        <v>236</v>
      </c>
      <c r="S10" t="s">
        <v>251</v>
      </c>
      <c r="T10" t="s">
        <v>192</v>
      </c>
      <c r="V10" t="s">
        <v>236</v>
      </c>
    </row>
    <row r="11" spans="1:23" x14ac:dyDescent="0.2">
      <c r="A11" t="s">
        <v>68</v>
      </c>
      <c r="B11" s="6">
        <f>B10*B3/1000</f>
        <v>26.798781299999998</v>
      </c>
      <c r="C11" s="6">
        <f>C10*C3/1000</f>
        <v>7.8066100000000009</v>
      </c>
      <c r="D11" t="e">
        <f ca="1">GetFormula(C11)</f>
        <v>#NAME?</v>
      </c>
      <c r="K11" t="s">
        <v>252</v>
      </c>
      <c r="L11" t="s">
        <v>284</v>
      </c>
      <c r="N11" t="s">
        <v>237</v>
      </c>
      <c r="S11" t="s">
        <v>252</v>
      </c>
      <c r="T11" t="s">
        <v>193</v>
      </c>
      <c r="V11" t="s">
        <v>237</v>
      </c>
    </row>
    <row r="12" spans="1:23" x14ac:dyDescent="0.2">
      <c r="K12" t="s">
        <v>194</v>
      </c>
      <c r="L12">
        <v>17.87</v>
      </c>
      <c r="N12" t="s">
        <v>238</v>
      </c>
      <c r="O12">
        <v>0.97</v>
      </c>
      <c r="S12" t="s">
        <v>194</v>
      </c>
      <c r="T12">
        <v>2.4</v>
      </c>
      <c r="V12" t="s">
        <v>238</v>
      </c>
      <c r="W12">
        <v>1.07</v>
      </c>
    </row>
    <row r="13" spans="1:23" x14ac:dyDescent="0.2">
      <c r="A13" s="7" t="s">
        <v>308</v>
      </c>
      <c r="B13" s="6" t="str">
        <f>LEFT(L41,FIND("B",L41)-1)</f>
        <v>11.20</v>
      </c>
      <c r="C13" s="6" t="str">
        <f>LEFT(T41,FIND("B",T41)-1)</f>
        <v>2.82</v>
      </c>
      <c r="D13" t="s">
        <v>62</v>
      </c>
      <c r="K13" t="s">
        <v>302</v>
      </c>
      <c r="L13">
        <v>14.95</v>
      </c>
      <c r="N13" t="s">
        <v>258</v>
      </c>
      <c r="O13" s="9">
        <v>0.248</v>
      </c>
      <c r="S13" t="s">
        <v>253</v>
      </c>
      <c r="T13">
        <v>25.63</v>
      </c>
      <c r="V13" t="s">
        <v>258</v>
      </c>
      <c r="W13" s="9">
        <v>0.63019999999999998</v>
      </c>
    </row>
    <row r="14" spans="1:23" x14ac:dyDescent="0.2">
      <c r="A14" t="s">
        <v>69</v>
      </c>
      <c r="B14" s="77">
        <f>B13/B11</f>
        <v>0.41792945263522113</v>
      </c>
      <c r="C14" s="77">
        <f>C13/C11</f>
        <v>0.36123234028598833</v>
      </c>
      <c r="D14" t="e">
        <f ca="1">"&lt;-- "&amp;_xlfn.FORMULATEXT(C14)</f>
        <v>#NAME?</v>
      </c>
      <c r="K14" t="s">
        <v>254</v>
      </c>
      <c r="L14">
        <v>1.4</v>
      </c>
      <c r="N14" t="s">
        <v>259</v>
      </c>
      <c r="O14" s="9">
        <v>0.1164</v>
      </c>
      <c r="S14" t="s">
        <v>254</v>
      </c>
      <c r="T14">
        <v>2.76</v>
      </c>
      <c r="V14" t="s">
        <v>259</v>
      </c>
      <c r="W14" s="9">
        <v>0.18729999999999999</v>
      </c>
    </row>
    <row r="15" spans="1:23" x14ac:dyDescent="0.2">
      <c r="A15" s="7" t="s">
        <v>70</v>
      </c>
      <c r="B15" s="34">
        <f>LEFT(L39,FIND("M",L39)-1)/1000</f>
        <v>0.248</v>
      </c>
      <c r="C15" s="34" t="str">
        <f>LEFT(T39,FIND("B",T39)-1)</f>
        <v>1.41</v>
      </c>
      <c r="D15" t="s">
        <v>62</v>
      </c>
      <c r="K15" t="s">
        <v>195</v>
      </c>
      <c r="L15">
        <v>0.26</v>
      </c>
      <c r="N15" t="s">
        <v>303</v>
      </c>
      <c r="O15">
        <v>54.85</v>
      </c>
      <c r="S15" t="s">
        <v>195</v>
      </c>
      <c r="T15">
        <v>0.21</v>
      </c>
      <c r="V15" t="s">
        <v>260</v>
      </c>
      <c r="W15">
        <v>36.03</v>
      </c>
    </row>
    <row r="16" spans="1:23" x14ac:dyDescent="0.2">
      <c r="A16" s="7" t="s">
        <v>71</v>
      </c>
      <c r="B16" s="6">
        <f>B13-B15</f>
        <v>10.952</v>
      </c>
      <c r="C16" s="6">
        <f>C13-C15</f>
        <v>1.41</v>
      </c>
      <c r="D16" t="e">
        <f ca="1">GetFormula(C16)</f>
        <v>#NAME?</v>
      </c>
      <c r="K16" t="s">
        <v>196</v>
      </c>
      <c r="L16">
        <v>5.27</v>
      </c>
      <c r="N16" t="s">
        <v>304</v>
      </c>
      <c r="O16">
        <v>35.130000000000003</v>
      </c>
      <c r="S16" t="s">
        <v>196</v>
      </c>
      <c r="T16">
        <v>1.41</v>
      </c>
      <c r="V16" t="s">
        <v>261</v>
      </c>
      <c r="W16">
        <v>26.7</v>
      </c>
    </row>
    <row r="17" spans="1:23" x14ac:dyDescent="0.2">
      <c r="K17" t="s">
        <v>255</v>
      </c>
      <c r="L17">
        <v>0.36</v>
      </c>
      <c r="N17" t="s">
        <v>262</v>
      </c>
      <c r="O17">
        <v>52.51</v>
      </c>
      <c r="S17" t="s">
        <v>255</v>
      </c>
      <c r="T17">
        <v>0.25</v>
      </c>
      <c r="V17" t="s">
        <v>262</v>
      </c>
      <c r="W17">
        <v>34.01</v>
      </c>
    </row>
    <row r="18" spans="1:23" ht="25.5" x14ac:dyDescent="0.2">
      <c r="A18" s="7" t="s">
        <v>72</v>
      </c>
      <c r="B18" s="6">
        <f>B10*B7/1000+B13-B15</f>
        <v>16.000405199999999</v>
      </c>
      <c r="C18" s="6">
        <f>C10*C7/1000+C13-C15</f>
        <v>6.9586699999999997</v>
      </c>
      <c r="D18" t="e">
        <f ca="1">GetFormula(C18)</f>
        <v>#NAME?</v>
      </c>
      <c r="K18" t="s">
        <v>256</v>
      </c>
      <c r="L18">
        <v>7.99</v>
      </c>
      <c r="N18" t="s">
        <v>263</v>
      </c>
      <c r="O18">
        <v>49.25</v>
      </c>
      <c r="S18" t="s">
        <v>256</v>
      </c>
      <c r="T18">
        <v>6.08</v>
      </c>
      <c r="V18" t="s">
        <v>263</v>
      </c>
      <c r="W18">
        <v>30.97</v>
      </c>
    </row>
    <row r="19" spans="1:23" ht="38.25" x14ac:dyDescent="0.2">
      <c r="A19" s="7" t="s">
        <v>73</v>
      </c>
      <c r="B19" s="6">
        <f>B11+B13-B15</f>
        <v>37.7507813</v>
      </c>
      <c r="C19" s="6">
        <f>C11+C13-C15</f>
        <v>9.2166100000000011</v>
      </c>
      <c r="D19" t="e">
        <f ca="1">GetFormula(C19)</f>
        <v>#NAME?</v>
      </c>
      <c r="K19" t="s">
        <v>197</v>
      </c>
      <c r="N19" t="s">
        <v>239</v>
      </c>
      <c r="S19" t="s">
        <v>197</v>
      </c>
      <c r="V19" t="s">
        <v>239</v>
      </c>
    </row>
    <row r="20" spans="1:23" x14ac:dyDescent="0.2">
      <c r="A20" s="12" t="s">
        <v>74</v>
      </c>
      <c r="B20" s="17">
        <f>B19/B18</f>
        <v>2.3593640803546649</v>
      </c>
      <c r="C20" s="17">
        <f>C19/C18</f>
        <v>1.3244786719301247</v>
      </c>
      <c r="D20" t="e">
        <f ca="1">GetFormula(C20)</f>
        <v>#NAME?</v>
      </c>
      <c r="E20" s="33" t="str">
        <f>IF(B20&gt;C20,"Kroger","Safeway")</f>
        <v>Kroger</v>
      </c>
      <c r="F20" t="e">
        <f ca="1">GetFormula(E20)</f>
        <v>#NAME?</v>
      </c>
      <c r="K20" t="s">
        <v>198</v>
      </c>
      <c r="N20" t="s">
        <v>264</v>
      </c>
      <c r="O20" s="1">
        <v>2986340</v>
      </c>
      <c r="S20" t="s">
        <v>198</v>
      </c>
      <c r="V20" t="s">
        <v>264</v>
      </c>
      <c r="W20" s="1">
        <v>7351620</v>
      </c>
    </row>
    <row r="21" spans="1:23" x14ac:dyDescent="0.2">
      <c r="K21" t="s">
        <v>199</v>
      </c>
      <c r="L21" s="75">
        <v>36923</v>
      </c>
      <c r="N21" t="s">
        <v>265</v>
      </c>
      <c r="O21" s="1">
        <v>4106230</v>
      </c>
      <c r="S21" t="s">
        <v>199</v>
      </c>
      <c r="T21" s="75">
        <v>47088</v>
      </c>
      <c r="V21" t="s">
        <v>265</v>
      </c>
      <c r="W21" s="1">
        <v>2591000</v>
      </c>
    </row>
    <row r="22" spans="1:23" ht="38.25" x14ac:dyDescent="0.2">
      <c r="A22" s="7" t="s">
        <v>75</v>
      </c>
      <c r="B22" t="str">
        <f>LEFT(L34,FIND("B",L34)-1)</f>
        <v>4.70</v>
      </c>
      <c r="C22" t="str">
        <f>LEFT(T34,FIND("B",T34)-1)</f>
        <v>1.52</v>
      </c>
      <c r="D22" t="s">
        <v>62</v>
      </c>
      <c r="K22" t="s">
        <v>200</v>
      </c>
      <c r="L22" t="s">
        <v>285</v>
      </c>
      <c r="N22" t="s">
        <v>266</v>
      </c>
      <c r="O22" t="s">
        <v>294</v>
      </c>
      <c r="S22" t="s">
        <v>200</v>
      </c>
      <c r="T22" t="s">
        <v>201</v>
      </c>
      <c r="V22" t="s">
        <v>266</v>
      </c>
      <c r="W22" t="s">
        <v>240</v>
      </c>
    </row>
    <row r="23" spans="1:23" x14ac:dyDescent="0.2">
      <c r="A23" s="12" t="s">
        <v>76</v>
      </c>
      <c r="B23" s="17">
        <f>B19/B22</f>
        <v>8.0320811276595734</v>
      </c>
      <c r="C23" s="17">
        <f>C19/C22</f>
        <v>6.0635592105263161</v>
      </c>
      <c r="D23" t="e">
        <f ca="1">GetFormula(C23)</f>
        <v>#NAME?</v>
      </c>
      <c r="E23" s="33" t="str">
        <f>IF(B23&gt;C23,"Kroger","Safeway")</f>
        <v>Kroger</v>
      </c>
      <c r="F23" t="e">
        <f ca="1">GetFormula(E23)</f>
        <v>#NAME?</v>
      </c>
      <c r="K23" t="s">
        <v>202</v>
      </c>
      <c r="N23" t="s">
        <v>241</v>
      </c>
      <c r="O23" t="s">
        <v>295</v>
      </c>
      <c r="S23" t="s">
        <v>202</v>
      </c>
      <c r="V23" t="s">
        <v>241</v>
      </c>
      <c r="W23" t="s">
        <v>242</v>
      </c>
    </row>
    <row r="24" spans="1:23" x14ac:dyDescent="0.2">
      <c r="K24" t="s">
        <v>203</v>
      </c>
      <c r="L24" s="9">
        <v>1.5100000000000001E-2</v>
      </c>
      <c r="N24" t="s">
        <v>267</v>
      </c>
      <c r="O24" s="9">
        <v>6.1100000000000002E-2</v>
      </c>
      <c r="S24" t="s">
        <v>203</v>
      </c>
      <c r="T24" s="9">
        <v>9.0899999999999995E-2</v>
      </c>
      <c r="V24" t="s">
        <v>267</v>
      </c>
      <c r="W24" s="9">
        <v>8.8999999999999999E-3</v>
      </c>
    </row>
    <row r="25" spans="1:23" x14ac:dyDescent="0.2">
      <c r="A25" t="s">
        <v>53</v>
      </c>
      <c r="B25">
        <v>50.7</v>
      </c>
      <c r="C25">
        <v>34.700000000000003</v>
      </c>
      <c r="D25" t="s">
        <v>62</v>
      </c>
      <c r="K25" t="s">
        <v>204</v>
      </c>
      <c r="L25" s="9">
        <v>2.76E-2</v>
      </c>
      <c r="N25" t="s">
        <v>268</v>
      </c>
      <c r="O25" s="9">
        <v>0.83499999999999996</v>
      </c>
      <c r="S25" t="s">
        <v>204</v>
      </c>
      <c r="T25" s="9">
        <v>1.5800000000000002E-2</v>
      </c>
      <c r="V25" t="s">
        <v>268</v>
      </c>
      <c r="W25" s="9">
        <v>0.878</v>
      </c>
    </row>
    <row r="26" spans="1:23" x14ac:dyDescent="0.2">
      <c r="A26" s="12" t="s">
        <v>77</v>
      </c>
      <c r="B26" s="17">
        <f>B19/B25</f>
        <v>0.74459134714003938</v>
      </c>
      <c r="C26" s="17">
        <f>C19/C25</f>
        <v>0.26560835734870319</v>
      </c>
      <c r="D26" t="s">
        <v>62</v>
      </c>
      <c r="E26" s="33" t="str">
        <f>IF(B26&gt;C26,"Kroger","Safeway")</f>
        <v>Kroger</v>
      </c>
      <c r="F26" t="e">
        <f ca="1">GetFormula(E26)</f>
        <v>#NAME?</v>
      </c>
      <c r="K26" t="s">
        <v>205</v>
      </c>
      <c r="N26" t="s">
        <v>269</v>
      </c>
      <c r="O26" t="s">
        <v>296</v>
      </c>
      <c r="S26" t="s">
        <v>205</v>
      </c>
      <c r="V26" t="s">
        <v>269</v>
      </c>
      <c r="W26" t="s">
        <v>243</v>
      </c>
    </row>
    <row r="27" spans="1:23" x14ac:dyDescent="0.2">
      <c r="K27" t="s">
        <v>206</v>
      </c>
      <c r="L27" s="9">
        <v>6.6900000000000001E-2</v>
      </c>
      <c r="N27" t="s">
        <v>270</v>
      </c>
      <c r="O27">
        <v>2.6</v>
      </c>
      <c r="S27" t="s">
        <v>206</v>
      </c>
      <c r="T27" s="9">
        <v>2.6599999999999999E-2</v>
      </c>
      <c r="V27" t="s">
        <v>270</v>
      </c>
      <c r="W27">
        <v>7.5</v>
      </c>
    </row>
    <row r="28" spans="1:23" x14ac:dyDescent="0.2">
      <c r="K28" t="s">
        <v>207</v>
      </c>
      <c r="L28" s="9">
        <v>0.32140000000000002</v>
      </c>
      <c r="N28" t="s">
        <v>271</v>
      </c>
      <c r="O28" s="9">
        <v>1.9E-2</v>
      </c>
      <c r="S28" t="s">
        <v>207</v>
      </c>
      <c r="T28" s="9">
        <v>1.7399999999999999E-2</v>
      </c>
      <c r="V28" t="s">
        <v>271</v>
      </c>
      <c r="W28" s="9">
        <v>4.8000000000000001E-2</v>
      </c>
    </row>
    <row r="29" spans="1:23" x14ac:dyDescent="0.2">
      <c r="K29" t="s">
        <v>208</v>
      </c>
      <c r="N29" t="s">
        <v>272</v>
      </c>
      <c r="O29" t="s">
        <v>297</v>
      </c>
      <c r="S29" t="s">
        <v>208</v>
      </c>
      <c r="V29" t="s">
        <v>272</v>
      </c>
      <c r="W29" t="s">
        <v>244</v>
      </c>
    </row>
    <row r="30" spans="1:23" x14ac:dyDescent="0.2">
      <c r="K30" t="s">
        <v>209</v>
      </c>
      <c r="L30" t="s">
        <v>286</v>
      </c>
      <c r="N30" t="s">
        <v>245</v>
      </c>
      <c r="S30" t="s">
        <v>209</v>
      </c>
      <c r="T30" t="s">
        <v>210</v>
      </c>
      <c r="V30" t="s">
        <v>245</v>
      </c>
    </row>
    <row r="31" spans="1:23" x14ac:dyDescent="0.2">
      <c r="K31" t="s">
        <v>211</v>
      </c>
      <c r="L31">
        <v>206.48</v>
      </c>
      <c r="N31" t="s">
        <v>273</v>
      </c>
      <c r="O31">
        <v>0.74</v>
      </c>
      <c r="S31" t="s">
        <v>211</v>
      </c>
      <c r="T31">
        <v>157.72999999999999</v>
      </c>
      <c r="V31" t="s">
        <v>273</v>
      </c>
      <c r="W31">
        <v>0.92</v>
      </c>
    </row>
    <row r="32" spans="1:23" x14ac:dyDescent="0.2">
      <c r="K32" t="s">
        <v>212</v>
      </c>
      <c r="L32" s="9">
        <v>0.11600000000000001</v>
      </c>
      <c r="N32" t="s">
        <v>274</v>
      </c>
      <c r="O32" s="9">
        <v>1.4E-2</v>
      </c>
      <c r="S32" t="s">
        <v>212</v>
      </c>
      <c r="T32" s="9">
        <v>2.5999999999999999E-2</v>
      </c>
      <c r="V32" t="s">
        <v>274</v>
      </c>
      <c r="W32" s="9">
        <v>2.7E-2</v>
      </c>
    </row>
    <row r="33" spans="11:23" x14ac:dyDescent="0.2">
      <c r="K33" t="s">
        <v>213</v>
      </c>
      <c r="L33" t="s">
        <v>287</v>
      </c>
      <c r="N33" t="s">
        <v>275</v>
      </c>
      <c r="O33">
        <v>0.66</v>
      </c>
      <c r="S33" t="s">
        <v>213</v>
      </c>
      <c r="T33" t="s">
        <v>214</v>
      </c>
      <c r="V33" t="s">
        <v>275</v>
      </c>
      <c r="W33">
        <v>0.72</v>
      </c>
    </row>
    <row r="34" spans="11:23" x14ac:dyDescent="0.2">
      <c r="K34" t="s">
        <v>257</v>
      </c>
      <c r="L34" t="s">
        <v>288</v>
      </c>
      <c r="N34" t="s">
        <v>275</v>
      </c>
      <c r="O34" s="9">
        <v>1.2E-2</v>
      </c>
      <c r="S34" t="s">
        <v>257</v>
      </c>
      <c r="T34" t="s">
        <v>215</v>
      </c>
      <c r="V34" t="s">
        <v>275</v>
      </c>
      <c r="W34" s="9">
        <v>2.1000000000000001E-2</v>
      </c>
    </row>
    <row r="35" spans="11:23" x14ac:dyDescent="0.2">
      <c r="K35" t="s">
        <v>216</v>
      </c>
      <c r="L35" t="s">
        <v>289</v>
      </c>
      <c r="N35" t="s">
        <v>276</v>
      </c>
      <c r="O35" s="9">
        <v>1.9E-2</v>
      </c>
      <c r="S35" t="s">
        <v>216</v>
      </c>
      <c r="T35" t="s">
        <v>217</v>
      </c>
      <c r="V35" t="s">
        <v>276</v>
      </c>
      <c r="W35" s="9">
        <v>2.7E-2</v>
      </c>
    </row>
    <row r="36" spans="11:23" x14ac:dyDescent="0.2">
      <c r="K36" t="s">
        <v>218</v>
      </c>
      <c r="L36">
        <v>3.05</v>
      </c>
      <c r="N36" t="s">
        <v>277</v>
      </c>
      <c r="O36" s="9">
        <v>0.21</v>
      </c>
      <c r="S36" t="s">
        <v>218</v>
      </c>
      <c r="T36">
        <v>14.19</v>
      </c>
      <c r="V36" t="s">
        <v>277</v>
      </c>
      <c r="W36" s="9">
        <v>0.06</v>
      </c>
    </row>
    <row r="37" spans="11:23" x14ac:dyDescent="0.2">
      <c r="K37" t="s">
        <v>219</v>
      </c>
      <c r="L37" s="9">
        <v>9.5000000000000001E-2</v>
      </c>
      <c r="N37" t="s">
        <v>278</v>
      </c>
      <c r="O37" t="s">
        <v>298</v>
      </c>
      <c r="S37" t="s">
        <v>219</v>
      </c>
      <c r="T37" s="9">
        <v>-0.85599999999999998</v>
      </c>
      <c r="V37" t="s">
        <v>278</v>
      </c>
      <c r="W37" t="s">
        <v>246</v>
      </c>
    </row>
    <row r="38" spans="11:23" x14ac:dyDescent="0.2">
      <c r="K38" t="s">
        <v>220</v>
      </c>
      <c r="N38" t="s">
        <v>279</v>
      </c>
      <c r="O38" t="s">
        <v>299</v>
      </c>
      <c r="S38" t="s">
        <v>220</v>
      </c>
      <c r="V38" t="s">
        <v>279</v>
      </c>
      <c r="W38" t="s">
        <v>247</v>
      </c>
    </row>
    <row r="39" spans="11:23" x14ac:dyDescent="0.2">
      <c r="K39" t="s">
        <v>221</v>
      </c>
      <c r="L39" t="s">
        <v>290</v>
      </c>
      <c r="N39" t="s">
        <v>280</v>
      </c>
      <c r="O39" s="76">
        <v>8.4027777777777771E-2</v>
      </c>
      <c r="S39" t="s">
        <v>221</v>
      </c>
      <c r="T39" t="s">
        <v>222</v>
      </c>
      <c r="V39" t="s">
        <v>280</v>
      </c>
      <c r="W39" s="76">
        <v>8.4027777777777771E-2</v>
      </c>
    </row>
    <row r="40" spans="11:23" x14ac:dyDescent="0.2">
      <c r="K40" t="s">
        <v>223</v>
      </c>
      <c r="L40">
        <v>0.51</v>
      </c>
      <c r="N40" t="s">
        <v>281</v>
      </c>
      <c r="O40" t="s">
        <v>300</v>
      </c>
      <c r="S40" t="s">
        <v>223</v>
      </c>
      <c r="T40">
        <v>6.18</v>
      </c>
      <c r="V40" t="s">
        <v>281</v>
      </c>
      <c r="W40" t="s">
        <v>248</v>
      </c>
    </row>
    <row r="41" spans="11:23" x14ac:dyDescent="0.2">
      <c r="K41" t="s">
        <v>224</v>
      </c>
      <c r="L41" t="s">
        <v>291</v>
      </c>
      <c r="S41" t="s">
        <v>224</v>
      </c>
      <c r="T41" t="s">
        <v>225</v>
      </c>
    </row>
    <row r="42" spans="11:23" x14ac:dyDescent="0.2">
      <c r="K42" t="s">
        <v>226</v>
      </c>
      <c r="L42">
        <v>223.02</v>
      </c>
      <c r="S42" t="s">
        <v>226</v>
      </c>
      <c r="T42">
        <v>50.79</v>
      </c>
    </row>
    <row r="43" spans="11:23" x14ac:dyDescent="0.2">
      <c r="K43" t="s">
        <v>227</v>
      </c>
      <c r="L43">
        <v>0.77</v>
      </c>
      <c r="S43" t="s">
        <v>227</v>
      </c>
      <c r="T43">
        <v>1.57</v>
      </c>
    </row>
    <row r="44" spans="11:23" x14ac:dyDescent="0.2">
      <c r="K44" t="s">
        <v>228</v>
      </c>
      <c r="L44">
        <v>10.28</v>
      </c>
      <c r="S44" t="s">
        <v>228</v>
      </c>
      <c r="T44">
        <v>24.23</v>
      </c>
    </row>
    <row r="45" spans="11:23" x14ac:dyDescent="0.2">
      <c r="K45" t="s">
        <v>229</v>
      </c>
      <c r="S45" t="s">
        <v>229</v>
      </c>
    </row>
    <row r="46" spans="11:23" x14ac:dyDescent="0.2">
      <c r="K46" t="s">
        <v>230</v>
      </c>
      <c r="L46" t="s">
        <v>292</v>
      </c>
      <c r="S46" t="s">
        <v>230</v>
      </c>
      <c r="T46" t="s">
        <v>231</v>
      </c>
    </row>
    <row r="47" spans="11:23" x14ac:dyDescent="0.2">
      <c r="K47" t="s">
        <v>232</v>
      </c>
      <c r="L47" t="s">
        <v>293</v>
      </c>
      <c r="S47" t="s">
        <v>232</v>
      </c>
      <c r="T47" t="s">
        <v>233</v>
      </c>
    </row>
    <row r="49" spans="11:19" x14ac:dyDescent="0.2">
      <c r="K49" t="s">
        <v>234</v>
      </c>
      <c r="S49" t="s">
        <v>234</v>
      </c>
    </row>
    <row r="50" spans="11:19" x14ac:dyDescent="0.2">
      <c r="K50" t="s">
        <v>235</v>
      </c>
      <c r="S50" t="s">
        <v>235</v>
      </c>
    </row>
  </sheetData>
  <mergeCells count="3">
    <mergeCell ref="S2:V2"/>
    <mergeCell ref="K2:N2"/>
    <mergeCell ref="A1:F1"/>
  </mergeCells>
  <phoneticPr fontId="13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B56"/>
  <sheetViews>
    <sheetView workbookViewId="0">
      <selection activeCell="D3" sqref="D3"/>
    </sheetView>
  </sheetViews>
  <sheetFormatPr defaultRowHeight="12.75" x14ac:dyDescent="0.2"/>
  <cols>
    <col min="1" max="1" width="43.85546875" customWidth="1"/>
    <col min="2" max="2" width="13.28515625" customWidth="1"/>
    <col min="3" max="3" width="12.28515625" customWidth="1"/>
    <col min="4" max="4" width="12.7109375" customWidth="1"/>
    <col min="5" max="5" width="19.42578125" bestFit="1" customWidth="1"/>
    <col min="12" max="12" width="12.42578125" customWidth="1"/>
    <col min="13" max="13" width="29.7109375" bestFit="1" customWidth="1"/>
    <col min="14" max="16" width="11.42578125" bestFit="1" customWidth="1"/>
    <col min="18" max="18" width="17.140625" customWidth="1"/>
    <col min="19" max="19" width="25.42578125" bestFit="1" customWidth="1"/>
    <col min="20" max="22" width="11.42578125" bestFit="1" customWidth="1"/>
    <col min="23" max="23" width="20.7109375" bestFit="1" customWidth="1"/>
    <col min="24" max="24" width="49.42578125" bestFit="1" customWidth="1"/>
    <col min="25" max="25" width="10.42578125" bestFit="1" customWidth="1"/>
    <col min="27" max="27" width="32.85546875" bestFit="1" customWidth="1"/>
    <col min="28" max="28" width="11.42578125" bestFit="1" customWidth="1"/>
  </cols>
  <sheetData>
    <row r="1" spans="1:28" ht="18" x14ac:dyDescent="0.25">
      <c r="A1" s="101" t="s">
        <v>135</v>
      </c>
      <c r="B1" s="101"/>
      <c r="C1" s="101"/>
      <c r="D1" s="101"/>
      <c r="E1" s="83"/>
      <c r="L1" t="s">
        <v>309</v>
      </c>
      <c r="R1" t="s">
        <v>309</v>
      </c>
      <c r="X1" t="s">
        <v>309</v>
      </c>
    </row>
    <row r="2" spans="1:28" ht="15.75" x14ac:dyDescent="0.25">
      <c r="A2" s="3" t="s">
        <v>136</v>
      </c>
    </row>
    <row r="3" spans="1:28" x14ac:dyDescent="0.2">
      <c r="A3" s="14"/>
      <c r="B3" s="15" t="str">
        <f>N8</f>
        <v>Feb 1, 2014</v>
      </c>
      <c r="C3" s="15" t="str">
        <f>O8</f>
        <v>Feb 2, 2013</v>
      </c>
      <c r="D3" s="15" t="str">
        <f>P8</f>
        <v>Jan 28, 2012</v>
      </c>
      <c r="L3" t="s">
        <v>249</v>
      </c>
      <c r="R3" t="s">
        <v>249</v>
      </c>
      <c r="X3" t="s">
        <v>249</v>
      </c>
    </row>
    <row r="4" spans="1:28" x14ac:dyDescent="0.2">
      <c r="A4" t="s">
        <v>137</v>
      </c>
      <c r="B4" s="49">
        <f>N9</f>
        <v>72596000</v>
      </c>
      <c r="C4" s="49">
        <f t="shared" ref="C4:D4" si="0">O9</f>
        <v>73301000</v>
      </c>
      <c r="D4" s="49">
        <f t="shared" si="0"/>
        <v>69865000</v>
      </c>
      <c r="L4" t="s">
        <v>342</v>
      </c>
      <c r="R4" t="s">
        <v>342</v>
      </c>
      <c r="X4" t="s">
        <v>342</v>
      </c>
    </row>
    <row r="5" spans="1:28" x14ac:dyDescent="0.2">
      <c r="A5" t="s">
        <v>138</v>
      </c>
      <c r="B5" s="49">
        <f>-N10</f>
        <v>-51160000</v>
      </c>
      <c r="C5" s="49">
        <f t="shared" ref="C5:D5" si="1">-O10</f>
        <v>-50568000</v>
      </c>
      <c r="D5" s="49">
        <f t="shared" si="1"/>
        <v>-47860000</v>
      </c>
      <c r="L5" t="s">
        <v>343</v>
      </c>
      <c r="R5" t="s">
        <v>343</v>
      </c>
      <c r="X5" t="s">
        <v>343</v>
      </c>
    </row>
    <row r="6" spans="1:28" x14ac:dyDescent="0.2">
      <c r="A6" t="s">
        <v>139</v>
      </c>
      <c r="B6" s="49">
        <f>-N16</f>
        <v>-15375000</v>
      </c>
      <c r="C6" s="49">
        <f t="shared" ref="C6:D6" si="2">-O16</f>
        <v>-15381000</v>
      </c>
      <c r="D6" s="49">
        <f t="shared" si="2"/>
        <v>-14552000</v>
      </c>
      <c r="L6" t="s">
        <v>208</v>
      </c>
      <c r="R6" t="s">
        <v>220</v>
      </c>
      <c r="X6" t="s">
        <v>189</v>
      </c>
    </row>
    <row r="7" spans="1:28" x14ac:dyDescent="0.2">
      <c r="A7" t="s">
        <v>323</v>
      </c>
      <c r="B7" s="49">
        <f>-SUM(N17:N18)</f>
        <v>-1832000</v>
      </c>
      <c r="C7" s="49">
        <f t="shared" ref="C7:D7" si="3">-SUM(O17:O18)</f>
        <v>-1981000</v>
      </c>
      <c r="D7" s="49">
        <f t="shared" si="3"/>
        <v>-2131000</v>
      </c>
      <c r="L7" t="s">
        <v>310</v>
      </c>
      <c r="M7" t="s">
        <v>311</v>
      </c>
      <c r="R7" t="s">
        <v>310</v>
      </c>
      <c r="X7" t="s">
        <v>190</v>
      </c>
    </row>
    <row r="8" spans="1:28" ht="13.5" customHeight="1" x14ac:dyDescent="0.2">
      <c r="A8" t="s">
        <v>140</v>
      </c>
      <c r="B8" s="49">
        <f>-N28</f>
        <v>-1126000</v>
      </c>
      <c r="C8" s="49">
        <f t="shared" ref="C8:D8" si="4">-O28</f>
        <v>-762000</v>
      </c>
      <c r="D8" s="49">
        <f t="shared" si="4"/>
        <v>-866000</v>
      </c>
      <c r="L8" t="s">
        <v>312</v>
      </c>
      <c r="N8" t="s">
        <v>313</v>
      </c>
      <c r="O8" t="s">
        <v>314</v>
      </c>
      <c r="P8" t="s">
        <v>315</v>
      </c>
      <c r="R8" t="s">
        <v>312</v>
      </c>
      <c r="T8" t="s">
        <v>313</v>
      </c>
      <c r="U8" t="s">
        <v>314</v>
      </c>
      <c r="V8" t="s">
        <v>315</v>
      </c>
      <c r="X8" t="s">
        <v>191</v>
      </c>
    </row>
    <row r="9" spans="1:28" ht="13.5" customHeight="1" x14ac:dyDescent="0.2">
      <c r="A9" s="13" t="s">
        <v>165</v>
      </c>
      <c r="B9" s="78">
        <f>SUM(B4:B8)</f>
        <v>3103000</v>
      </c>
      <c r="C9" s="78">
        <f t="shared" ref="C9:D9" si="5">SUM(C4:C8)</f>
        <v>4609000</v>
      </c>
      <c r="D9" s="78">
        <f t="shared" si="5"/>
        <v>4456000</v>
      </c>
      <c r="L9" t="s">
        <v>316</v>
      </c>
      <c r="N9" s="1">
        <v>72596000</v>
      </c>
      <c r="O9" s="1">
        <v>73301000</v>
      </c>
      <c r="P9" s="1">
        <v>69865000</v>
      </c>
      <c r="X9" t="s">
        <v>251</v>
      </c>
      <c r="Y9" t="s">
        <v>385</v>
      </c>
    </row>
    <row r="10" spans="1:28" x14ac:dyDescent="0.2">
      <c r="A10" t="s">
        <v>331</v>
      </c>
      <c r="B10" s="49">
        <f>-N30</f>
        <v>-1132000</v>
      </c>
      <c r="C10" s="49">
        <f t="shared" ref="C10:D10" si="6">-O30</f>
        <v>-1610000</v>
      </c>
      <c r="D10" s="49">
        <f t="shared" si="6"/>
        <v>-1527000</v>
      </c>
      <c r="L10" t="s">
        <v>317</v>
      </c>
      <c r="N10" s="1">
        <v>51160000</v>
      </c>
      <c r="O10" s="1">
        <v>50568000</v>
      </c>
      <c r="P10" s="1">
        <v>47860000</v>
      </c>
      <c r="R10" t="s">
        <v>4</v>
      </c>
      <c r="X10" t="s">
        <v>402</v>
      </c>
      <c r="Y10" t="s">
        <v>386</v>
      </c>
    </row>
    <row r="11" spans="1:28" ht="15" x14ac:dyDescent="0.35">
      <c r="A11" s="79" t="s">
        <v>142</v>
      </c>
      <c r="B11" s="80">
        <f>SUM(B9:B10)</f>
        <v>1971000</v>
      </c>
      <c r="C11" s="80">
        <f t="shared" ref="C11:D11" si="7">SUM(C9:C10)</f>
        <v>2999000</v>
      </c>
      <c r="D11" s="80">
        <f t="shared" si="7"/>
        <v>2929000</v>
      </c>
      <c r="R11" t="s">
        <v>344</v>
      </c>
      <c r="X11" t="s">
        <v>194</v>
      </c>
      <c r="Y11">
        <v>27.1</v>
      </c>
      <c r="AA11" t="s">
        <v>236</v>
      </c>
    </row>
    <row r="12" spans="1:28" ht="12.95" customHeight="1" x14ac:dyDescent="0.2">
      <c r="L12" t="s">
        <v>318</v>
      </c>
      <c r="N12" s="1">
        <v>21436000</v>
      </c>
      <c r="O12" s="1">
        <v>22733000</v>
      </c>
      <c r="P12" s="1">
        <v>22005000</v>
      </c>
      <c r="S12" t="s">
        <v>345</v>
      </c>
      <c r="T12" s="1">
        <v>695000</v>
      </c>
      <c r="U12" s="1">
        <v>784000</v>
      </c>
      <c r="V12" s="1">
        <v>794000</v>
      </c>
      <c r="X12" t="s">
        <v>302</v>
      </c>
      <c r="Y12">
        <v>16.8</v>
      </c>
      <c r="AA12" t="s">
        <v>237</v>
      </c>
    </row>
    <row r="13" spans="1:28" ht="15.75" x14ac:dyDescent="0.25">
      <c r="A13" s="3" t="s">
        <v>143</v>
      </c>
      <c r="S13" t="s">
        <v>346</v>
      </c>
      <c r="T13" t="s">
        <v>381</v>
      </c>
      <c r="U13" t="s">
        <v>381</v>
      </c>
      <c r="V13" t="s">
        <v>381</v>
      </c>
      <c r="X13" t="s">
        <v>254</v>
      </c>
      <c r="Y13">
        <v>1.68</v>
      </c>
      <c r="AA13" t="s">
        <v>238</v>
      </c>
      <c r="AB13">
        <v>0.84</v>
      </c>
    </row>
    <row r="14" spans="1:28" x14ac:dyDescent="0.2">
      <c r="A14" s="13" t="s">
        <v>4</v>
      </c>
      <c r="B14" s="15" t="str">
        <f>T8</f>
        <v>Feb 1, 2014</v>
      </c>
      <c r="C14" s="15" t="str">
        <f t="shared" ref="C14:D14" si="8">U8</f>
        <v>Feb 2, 2013</v>
      </c>
      <c r="D14" s="15" t="str">
        <f t="shared" si="8"/>
        <v>Jan 28, 2012</v>
      </c>
      <c r="M14" t="s">
        <v>319</v>
      </c>
      <c r="S14" t="s">
        <v>347</v>
      </c>
      <c r="T14" t="s">
        <v>381</v>
      </c>
      <c r="U14" s="1">
        <v>5841000</v>
      </c>
      <c r="V14" s="1">
        <v>5927000</v>
      </c>
      <c r="X14" t="s">
        <v>195</v>
      </c>
      <c r="Y14">
        <v>0.54</v>
      </c>
      <c r="AA14" t="s">
        <v>258</v>
      </c>
      <c r="AB14" s="9">
        <v>-2.3099999999999999E-2</v>
      </c>
    </row>
    <row r="15" spans="1:28" x14ac:dyDescent="0.2">
      <c r="A15" t="s">
        <v>144</v>
      </c>
      <c r="B15" s="36">
        <f>T12</f>
        <v>695000</v>
      </c>
      <c r="C15" s="36">
        <f t="shared" ref="C15:D15" si="9">U12</f>
        <v>784000</v>
      </c>
      <c r="D15" s="36">
        <f t="shared" si="9"/>
        <v>794000</v>
      </c>
      <c r="M15" t="s">
        <v>320</v>
      </c>
      <c r="N15" t="s">
        <v>380</v>
      </c>
      <c r="O15" t="s">
        <v>380</v>
      </c>
      <c r="P15" t="s">
        <v>380</v>
      </c>
      <c r="S15" t="s">
        <v>145</v>
      </c>
      <c r="T15" s="1">
        <v>8766000</v>
      </c>
      <c r="U15" s="1">
        <v>7903000</v>
      </c>
      <c r="V15" s="1">
        <v>7918000</v>
      </c>
      <c r="X15" t="s">
        <v>196</v>
      </c>
      <c r="Y15">
        <v>2.39</v>
      </c>
      <c r="AA15" t="s">
        <v>259</v>
      </c>
      <c r="AB15" s="9">
        <v>0.14680000000000001</v>
      </c>
    </row>
    <row r="16" spans="1:28" x14ac:dyDescent="0.2">
      <c r="A16" t="s">
        <v>382</v>
      </c>
      <c r="B16" s="36" t="str">
        <f>T14</f>
        <v xml:space="preserve">- </v>
      </c>
      <c r="C16" s="36">
        <f t="shared" ref="C16:D16" si="10">U14</f>
        <v>5841000</v>
      </c>
      <c r="D16" s="36">
        <f t="shared" si="10"/>
        <v>5927000</v>
      </c>
      <c r="M16" t="s">
        <v>321</v>
      </c>
      <c r="N16" s="1">
        <v>15375000</v>
      </c>
      <c r="O16" s="1">
        <v>15381000</v>
      </c>
      <c r="P16" s="1">
        <v>14552000</v>
      </c>
      <c r="S16" t="s">
        <v>348</v>
      </c>
      <c r="T16" s="1">
        <v>2112000</v>
      </c>
      <c r="U16" s="1">
        <v>1860000</v>
      </c>
      <c r="V16" s="1">
        <v>1810000</v>
      </c>
      <c r="X16" t="s">
        <v>255</v>
      </c>
      <c r="Y16">
        <v>0.74</v>
      </c>
      <c r="AA16" t="s">
        <v>403</v>
      </c>
      <c r="AB16">
        <v>67.25</v>
      </c>
    </row>
    <row r="17" spans="1:28" x14ac:dyDescent="0.2">
      <c r="A17" t="s">
        <v>145</v>
      </c>
      <c r="B17" s="36">
        <f>T15</f>
        <v>8766000</v>
      </c>
      <c r="C17" s="36">
        <f t="shared" ref="C17:D17" si="11">U15</f>
        <v>7903000</v>
      </c>
      <c r="D17" s="36">
        <f t="shared" si="11"/>
        <v>7918000</v>
      </c>
      <c r="M17" t="s">
        <v>322</v>
      </c>
      <c r="N17" s="1">
        <v>-391000</v>
      </c>
      <c r="O17" s="1">
        <v>-161000</v>
      </c>
      <c r="P17" t="s">
        <v>380</v>
      </c>
      <c r="X17" t="s">
        <v>256</v>
      </c>
      <c r="Y17">
        <v>9.49</v>
      </c>
      <c r="AA17" t="s">
        <v>304</v>
      </c>
      <c r="AB17">
        <v>54.66</v>
      </c>
    </row>
    <row r="18" spans="1:28" x14ac:dyDescent="0.2">
      <c r="A18" t="s">
        <v>146</v>
      </c>
      <c r="B18" s="36">
        <f>T16</f>
        <v>2112000</v>
      </c>
      <c r="C18" s="36">
        <f t="shared" ref="C18:D18" si="12">U16</f>
        <v>1860000</v>
      </c>
      <c r="D18" s="36">
        <f t="shared" si="12"/>
        <v>1810000</v>
      </c>
      <c r="M18" t="s">
        <v>323</v>
      </c>
      <c r="N18" s="1">
        <v>2223000</v>
      </c>
      <c r="O18" s="1">
        <v>2142000</v>
      </c>
      <c r="P18" s="1">
        <v>2131000</v>
      </c>
      <c r="R18" t="s">
        <v>349</v>
      </c>
      <c r="T18" s="1">
        <v>11573000</v>
      </c>
      <c r="U18" s="1">
        <v>16388000</v>
      </c>
      <c r="V18" s="1">
        <v>16449000</v>
      </c>
      <c r="X18" t="s">
        <v>197</v>
      </c>
      <c r="AA18" t="s">
        <v>262</v>
      </c>
      <c r="AB18">
        <v>61.85</v>
      </c>
    </row>
    <row r="19" spans="1:28" x14ac:dyDescent="0.2">
      <c r="A19" t="s">
        <v>147</v>
      </c>
      <c r="B19" s="36">
        <f>SUM(B15:B18)</f>
        <v>11573000</v>
      </c>
      <c r="C19" s="36">
        <f t="shared" ref="C19:D19" si="13">SUM(C15:C18)</f>
        <v>16388000</v>
      </c>
      <c r="D19" s="36">
        <f t="shared" si="13"/>
        <v>16449000</v>
      </c>
      <c r="R19" t="s">
        <v>350</v>
      </c>
      <c r="T19" t="s">
        <v>381</v>
      </c>
      <c r="U19" t="s">
        <v>381</v>
      </c>
      <c r="V19" t="s">
        <v>381</v>
      </c>
      <c r="X19" t="s">
        <v>198</v>
      </c>
      <c r="AA19" t="s">
        <v>263</v>
      </c>
      <c r="AB19">
        <v>60</v>
      </c>
    </row>
    <row r="20" spans="1:28" x14ac:dyDescent="0.2">
      <c r="M20" t="s">
        <v>324</v>
      </c>
      <c r="N20" t="s">
        <v>380</v>
      </c>
      <c r="O20" t="s">
        <v>380</v>
      </c>
      <c r="P20" t="s">
        <v>380</v>
      </c>
      <c r="R20" t="s">
        <v>351</v>
      </c>
      <c r="T20" s="1">
        <v>31378000</v>
      </c>
      <c r="U20" s="1">
        <v>30653000</v>
      </c>
      <c r="V20" s="1">
        <v>29149000</v>
      </c>
      <c r="X20" t="s">
        <v>199</v>
      </c>
      <c r="Y20" s="75">
        <v>36923</v>
      </c>
      <c r="AA20" t="s">
        <v>239</v>
      </c>
    </row>
    <row r="21" spans="1:28" x14ac:dyDescent="0.2">
      <c r="A21" t="s">
        <v>148</v>
      </c>
      <c r="B21" s="36">
        <f>T20</f>
        <v>31378000</v>
      </c>
      <c r="C21" s="36">
        <f>U20</f>
        <v>30653000</v>
      </c>
      <c r="D21" s="36">
        <f>V20</f>
        <v>29149000</v>
      </c>
      <c r="R21" t="s">
        <v>352</v>
      </c>
      <c r="T21" t="s">
        <v>381</v>
      </c>
      <c r="U21" t="s">
        <v>381</v>
      </c>
      <c r="V21" t="s">
        <v>381</v>
      </c>
      <c r="X21" t="s">
        <v>200</v>
      </c>
      <c r="Y21" t="s">
        <v>387</v>
      </c>
      <c r="AA21" t="s">
        <v>264</v>
      </c>
      <c r="AB21" s="1">
        <v>4216320</v>
      </c>
    </row>
    <row r="22" spans="1:28" x14ac:dyDescent="0.2">
      <c r="B22" s="36"/>
      <c r="C22" s="36"/>
      <c r="N22" s="1"/>
      <c r="R22" t="s">
        <v>353</v>
      </c>
      <c r="T22" t="s">
        <v>381</v>
      </c>
      <c r="U22" t="s">
        <v>381</v>
      </c>
      <c r="V22" t="s">
        <v>381</v>
      </c>
      <c r="X22" t="s">
        <v>202</v>
      </c>
      <c r="AA22" t="s">
        <v>265</v>
      </c>
      <c r="AB22" s="1">
        <v>3681000</v>
      </c>
    </row>
    <row r="23" spans="1:28" x14ac:dyDescent="0.2">
      <c r="A23" t="s">
        <v>149</v>
      </c>
      <c r="B23" s="36">
        <f>T24</f>
        <v>1602000</v>
      </c>
      <c r="C23" s="36">
        <f t="shared" ref="C23:D23" si="14">U24</f>
        <v>1122000</v>
      </c>
      <c r="D23" s="36">
        <f t="shared" si="14"/>
        <v>1032000</v>
      </c>
      <c r="L23" t="s">
        <v>325</v>
      </c>
      <c r="N23" s="1">
        <v>4229000</v>
      </c>
      <c r="O23" s="1">
        <v>5371000</v>
      </c>
      <c r="P23" s="1">
        <v>5322000</v>
      </c>
      <c r="R23" t="s">
        <v>354</v>
      </c>
      <c r="T23" t="s">
        <v>381</v>
      </c>
      <c r="U23" t="s">
        <v>381</v>
      </c>
      <c r="V23" t="s">
        <v>381</v>
      </c>
      <c r="X23" t="s">
        <v>203</v>
      </c>
      <c r="Y23" s="9">
        <v>2.07E-2</v>
      </c>
      <c r="AA23" t="s">
        <v>266</v>
      </c>
      <c r="AB23" t="s">
        <v>395</v>
      </c>
    </row>
    <row r="24" spans="1:28" x14ac:dyDescent="0.2">
      <c r="A24" s="13" t="s">
        <v>5</v>
      </c>
      <c r="B24" s="81">
        <f>B23+B21+B19</f>
        <v>44553000</v>
      </c>
      <c r="C24" s="81">
        <f t="shared" ref="C24:D24" si="15">C23+C21+C19</f>
        <v>48163000</v>
      </c>
      <c r="D24" s="81">
        <f t="shared" si="15"/>
        <v>46630000</v>
      </c>
      <c r="R24" t="s">
        <v>355</v>
      </c>
      <c r="T24" s="1">
        <v>1602000</v>
      </c>
      <c r="U24" s="1">
        <v>1122000</v>
      </c>
      <c r="V24" s="1">
        <v>1032000</v>
      </c>
      <c r="X24" t="s">
        <v>204</v>
      </c>
      <c r="Y24" s="9">
        <v>4.5900000000000003E-2</v>
      </c>
      <c r="AA24" t="s">
        <v>241</v>
      </c>
      <c r="AB24" t="s">
        <v>396</v>
      </c>
    </row>
    <row r="25" spans="1:28" x14ac:dyDescent="0.2">
      <c r="B25" s="36"/>
      <c r="C25" s="36"/>
      <c r="M25" t="s">
        <v>326</v>
      </c>
      <c r="R25" t="s">
        <v>356</v>
      </c>
      <c r="T25" t="s">
        <v>381</v>
      </c>
      <c r="U25" t="s">
        <v>381</v>
      </c>
      <c r="V25" t="s">
        <v>381</v>
      </c>
      <c r="X25" t="s">
        <v>205</v>
      </c>
      <c r="AA25" t="s">
        <v>267</v>
      </c>
      <c r="AB25" s="9">
        <v>1.6999999999999999E-3</v>
      </c>
    </row>
    <row r="26" spans="1:28" x14ac:dyDescent="0.2">
      <c r="A26" s="13" t="s">
        <v>150</v>
      </c>
      <c r="B26" s="36"/>
      <c r="C26" s="36"/>
      <c r="M26" t="s">
        <v>327</v>
      </c>
      <c r="N26" t="s">
        <v>380</v>
      </c>
      <c r="O26" t="s">
        <v>380</v>
      </c>
      <c r="P26" t="s">
        <v>380</v>
      </c>
      <c r="X26" t="s">
        <v>206</v>
      </c>
      <c r="Y26" s="9">
        <v>4.7399999999999998E-2</v>
      </c>
      <c r="AA26" t="s">
        <v>268</v>
      </c>
      <c r="AB26" s="9">
        <v>0.85399999999999998</v>
      </c>
    </row>
    <row r="27" spans="1:28" x14ac:dyDescent="0.2">
      <c r="A27" t="str">
        <f>S31</f>
        <v>Accounts Payable</v>
      </c>
      <c r="B27" s="36">
        <f>T31</f>
        <v>11617000</v>
      </c>
      <c r="C27" s="36">
        <f t="shared" ref="C27:D27" si="16">U31</f>
        <v>11037000</v>
      </c>
      <c r="D27" s="36">
        <f t="shared" si="16"/>
        <v>10501000</v>
      </c>
      <c r="M27" t="s">
        <v>328</v>
      </c>
      <c r="N27" s="1">
        <v>4229000</v>
      </c>
      <c r="O27" s="1">
        <v>5371000</v>
      </c>
      <c r="P27" s="1">
        <v>5322000</v>
      </c>
      <c r="R27" t="s">
        <v>357</v>
      </c>
      <c r="T27" s="1">
        <v>44553000</v>
      </c>
      <c r="U27" s="1">
        <v>48163000</v>
      </c>
      <c r="V27" s="1">
        <v>46630000</v>
      </c>
      <c r="X27" t="s">
        <v>207</v>
      </c>
      <c r="Y27" s="9">
        <v>9.3299999999999994E-2</v>
      </c>
      <c r="AA27" t="s">
        <v>269</v>
      </c>
      <c r="AB27" t="s">
        <v>397</v>
      </c>
    </row>
    <row r="28" spans="1:28" x14ac:dyDescent="0.2">
      <c r="A28" t="str">
        <f>S32</f>
        <v>Short/Current Long Term Debt</v>
      </c>
      <c r="B28" s="36">
        <f>T32</f>
        <v>1160000</v>
      </c>
      <c r="C28" s="36">
        <f t="shared" ref="C28:D28" si="17">U32</f>
        <v>2994000</v>
      </c>
      <c r="D28" s="36">
        <f t="shared" si="17"/>
        <v>3786000</v>
      </c>
      <c r="M28" t="s">
        <v>329</v>
      </c>
      <c r="N28" s="1">
        <v>1126000</v>
      </c>
      <c r="O28" s="1">
        <v>762000</v>
      </c>
      <c r="P28" s="1">
        <v>866000</v>
      </c>
      <c r="X28" t="s">
        <v>208</v>
      </c>
      <c r="AA28" t="s">
        <v>270</v>
      </c>
      <c r="AB28">
        <v>7.1</v>
      </c>
    </row>
    <row r="29" spans="1:28" x14ac:dyDescent="0.2">
      <c r="A29" t="s">
        <v>152</v>
      </c>
      <c r="B29" s="36">
        <f>SUM(B27:B28)</f>
        <v>12777000</v>
      </c>
      <c r="C29" s="36">
        <f t="shared" ref="C29:D29" si="18">SUM(C27:C28)</f>
        <v>14031000</v>
      </c>
      <c r="D29" s="36">
        <f t="shared" si="18"/>
        <v>14287000</v>
      </c>
      <c r="M29" t="s">
        <v>330</v>
      </c>
      <c r="N29" s="1">
        <v>3103000</v>
      </c>
      <c r="O29" s="1">
        <v>4609000</v>
      </c>
      <c r="P29" s="1">
        <v>4456000</v>
      </c>
      <c r="R29" t="s">
        <v>358</v>
      </c>
      <c r="X29" t="s">
        <v>209</v>
      </c>
      <c r="Y29" t="s">
        <v>388</v>
      </c>
      <c r="AA29" t="s">
        <v>271</v>
      </c>
      <c r="AB29" s="9">
        <v>4.4999999999999998E-2</v>
      </c>
    </row>
    <row r="30" spans="1:28" x14ac:dyDescent="0.2">
      <c r="B30" s="36"/>
      <c r="C30" s="36"/>
      <c r="M30" t="s">
        <v>331</v>
      </c>
      <c r="N30" s="1">
        <v>1132000</v>
      </c>
      <c r="O30" s="1">
        <v>1610000</v>
      </c>
      <c r="P30" s="1">
        <v>1527000</v>
      </c>
      <c r="R30" t="s">
        <v>359</v>
      </c>
      <c r="X30" t="s">
        <v>211</v>
      </c>
      <c r="Y30">
        <v>115.76</v>
      </c>
      <c r="AA30" t="s">
        <v>272</v>
      </c>
      <c r="AB30" t="s">
        <v>398</v>
      </c>
    </row>
    <row r="31" spans="1:28" x14ac:dyDescent="0.2">
      <c r="A31" t="s">
        <v>153</v>
      </c>
      <c r="B31" s="36">
        <f>T36</f>
        <v>12622000</v>
      </c>
      <c r="C31" s="36">
        <f t="shared" ref="C31:D31" si="19">U36</f>
        <v>14654000</v>
      </c>
      <c r="D31" s="36">
        <f t="shared" si="19"/>
        <v>13697000</v>
      </c>
      <c r="M31" t="s">
        <v>332</v>
      </c>
      <c r="N31" t="s">
        <v>380</v>
      </c>
      <c r="O31" t="s">
        <v>380</v>
      </c>
      <c r="P31" t="s">
        <v>380</v>
      </c>
      <c r="S31" t="s">
        <v>360</v>
      </c>
      <c r="T31" s="1">
        <v>11617000</v>
      </c>
      <c r="U31" s="1">
        <v>11037000</v>
      </c>
      <c r="V31" s="1">
        <v>10501000</v>
      </c>
      <c r="X31" t="s">
        <v>212</v>
      </c>
      <c r="Y31" s="9">
        <v>1.7000000000000001E-2</v>
      </c>
      <c r="AA31" t="s">
        <v>245</v>
      </c>
    </row>
    <row r="32" spans="1:28" x14ac:dyDescent="0.2">
      <c r="A32" t="str">
        <f>R37</f>
        <v>Other Liabilities</v>
      </c>
      <c r="B32" s="36">
        <f>T37</f>
        <v>1490000</v>
      </c>
      <c r="C32" s="36">
        <f t="shared" ref="C32:D32" si="20">U37</f>
        <v>1609000</v>
      </c>
      <c r="D32" s="36">
        <f t="shared" si="20"/>
        <v>1634000</v>
      </c>
      <c r="S32" t="s">
        <v>361</v>
      </c>
      <c r="T32" s="1">
        <v>1160000</v>
      </c>
      <c r="U32" s="1">
        <v>2994000</v>
      </c>
      <c r="V32" s="1">
        <v>3786000</v>
      </c>
      <c r="X32" t="s">
        <v>213</v>
      </c>
      <c r="Y32" t="s">
        <v>389</v>
      </c>
      <c r="AA32" t="s">
        <v>273</v>
      </c>
      <c r="AB32">
        <v>2.08</v>
      </c>
    </row>
    <row r="33" spans="1:28" x14ac:dyDescent="0.2">
      <c r="A33" t="str">
        <f>R38</f>
        <v>Deferred Long Term Liability Charges</v>
      </c>
      <c r="B33" s="36">
        <f>T38</f>
        <v>1433000</v>
      </c>
      <c r="C33" s="36">
        <f t="shared" ref="C33:D33" si="21">U38</f>
        <v>1311000</v>
      </c>
      <c r="D33" s="36">
        <f t="shared" si="21"/>
        <v>1191000</v>
      </c>
      <c r="M33" t="s">
        <v>333</v>
      </c>
      <c r="N33" s="1">
        <v>1971000</v>
      </c>
      <c r="O33" s="1">
        <v>2999000</v>
      </c>
      <c r="P33" s="1">
        <v>2929000</v>
      </c>
      <c r="S33" t="s">
        <v>362</v>
      </c>
      <c r="T33" t="s">
        <v>381</v>
      </c>
      <c r="U33" t="s">
        <v>381</v>
      </c>
      <c r="V33" t="s">
        <v>381</v>
      </c>
      <c r="X33" t="s">
        <v>257</v>
      </c>
      <c r="Y33" t="s">
        <v>390</v>
      </c>
      <c r="AA33" t="s">
        <v>274</v>
      </c>
      <c r="AB33" s="9">
        <v>3.4000000000000002E-2</v>
      </c>
    </row>
    <row r="34" spans="1:28" x14ac:dyDescent="0.2">
      <c r="A34" t="s">
        <v>154</v>
      </c>
      <c r="B34" s="36"/>
      <c r="C34" s="36"/>
      <c r="X34" t="s">
        <v>216</v>
      </c>
      <c r="Y34" t="s">
        <v>391</v>
      </c>
      <c r="AA34" t="s">
        <v>275</v>
      </c>
      <c r="AB34">
        <v>1.81</v>
      </c>
    </row>
    <row r="35" spans="1:28" x14ac:dyDescent="0.2">
      <c r="A35" s="82" t="s">
        <v>383</v>
      </c>
      <c r="B35" s="36">
        <f>T48</f>
        <v>53000</v>
      </c>
      <c r="C35" s="36">
        <f t="shared" ref="C35:D35" si="22">U48</f>
        <v>54000</v>
      </c>
      <c r="D35" s="36">
        <f t="shared" si="22"/>
        <v>56000</v>
      </c>
      <c r="M35" t="s">
        <v>334</v>
      </c>
      <c r="R35" t="s">
        <v>363</v>
      </c>
      <c r="T35" s="1">
        <v>12777000</v>
      </c>
      <c r="U35" s="1">
        <v>14031000</v>
      </c>
      <c r="V35" s="1">
        <v>14287000</v>
      </c>
      <c r="X35" t="s">
        <v>218</v>
      </c>
      <c r="Y35">
        <v>2.37</v>
      </c>
      <c r="AA35" t="s">
        <v>275</v>
      </c>
      <c r="AB35" s="9">
        <v>2.9000000000000001E-2</v>
      </c>
    </row>
    <row r="36" spans="1:28" x14ac:dyDescent="0.2">
      <c r="A36" s="82" t="s">
        <v>384</v>
      </c>
      <c r="B36" s="36">
        <f>T49</f>
        <v>12599000</v>
      </c>
      <c r="C36" s="36">
        <f t="shared" ref="C36:D36" si="23">U49</f>
        <v>13155000</v>
      </c>
      <c r="D36" s="36">
        <f t="shared" si="23"/>
        <v>12959000</v>
      </c>
      <c r="M36" t="s">
        <v>335</v>
      </c>
      <c r="N36" t="s">
        <v>380</v>
      </c>
      <c r="O36" t="s">
        <v>380</v>
      </c>
      <c r="P36" t="s">
        <v>380</v>
      </c>
      <c r="R36" t="s">
        <v>364</v>
      </c>
      <c r="T36" s="1">
        <v>12622000</v>
      </c>
      <c r="U36" s="1">
        <v>14654000</v>
      </c>
      <c r="V36" s="1">
        <v>13697000</v>
      </c>
      <c r="X36" t="s">
        <v>219</v>
      </c>
      <c r="Y36" s="9">
        <v>-0.61699999999999999</v>
      </c>
      <c r="AA36" t="s">
        <v>276</v>
      </c>
      <c r="AB36" s="9">
        <v>2.1999999999999999E-2</v>
      </c>
    </row>
    <row r="37" spans="1:28" x14ac:dyDescent="0.2">
      <c r="A37" s="82" t="str">
        <f>R51</f>
        <v>Capital Surplus</v>
      </c>
      <c r="B37" s="36">
        <f>T51</f>
        <v>4470000</v>
      </c>
      <c r="C37" s="36">
        <f t="shared" ref="C37:D37" si="24">U51</f>
        <v>3925000</v>
      </c>
      <c r="D37" s="36">
        <f t="shared" si="24"/>
        <v>3487000</v>
      </c>
      <c r="M37" t="s">
        <v>336</v>
      </c>
      <c r="N37" t="s">
        <v>380</v>
      </c>
      <c r="O37" t="s">
        <v>380</v>
      </c>
      <c r="P37" t="s">
        <v>380</v>
      </c>
      <c r="R37" t="s">
        <v>365</v>
      </c>
      <c r="T37" s="1">
        <v>1490000</v>
      </c>
      <c r="U37" s="1">
        <v>1609000</v>
      </c>
      <c r="V37" s="1">
        <v>1634000</v>
      </c>
      <c r="X37" t="s">
        <v>220</v>
      </c>
      <c r="AA37" t="s">
        <v>277</v>
      </c>
      <c r="AB37" s="9">
        <v>0.73</v>
      </c>
    </row>
    <row r="38" spans="1:28" x14ac:dyDescent="0.2">
      <c r="A38" s="82" t="str">
        <f>R52</f>
        <v>Other Stockholder Equity</v>
      </c>
      <c r="B38" s="36">
        <f>T52</f>
        <v>-891000</v>
      </c>
      <c r="C38" s="36">
        <f t="shared" ref="C38:D38" si="25">U52</f>
        <v>-576000</v>
      </c>
      <c r="D38" s="36">
        <f t="shared" si="25"/>
        <v>-681000</v>
      </c>
      <c r="M38" t="s">
        <v>337</v>
      </c>
      <c r="N38" t="s">
        <v>380</v>
      </c>
      <c r="O38" t="s">
        <v>380</v>
      </c>
      <c r="P38" t="s">
        <v>380</v>
      </c>
      <c r="R38" t="s">
        <v>366</v>
      </c>
      <c r="T38" s="1">
        <v>1433000</v>
      </c>
      <c r="U38" s="1">
        <v>1311000</v>
      </c>
      <c r="V38" s="1">
        <v>1191000</v>
      </c>
      <c r="X38" t="s">
        <v>221</v>
      </c>
      <c r="Y38" t="s">
        <v>392</v>
      </c>
      <c r="AA38" t="s">
        <v>278</v>
      </c>
      <c r="AB38" t="s">
        <v>399</v>
      </c>
    </row>
    <row r="39" spans="1:28" x14ac:dyDescent="0.2">
      <c r="A39" t="s">
        <v>155</v>
      </c>
      <c r="B39" s="36">
        <f>SUM(B35:B38)</f>
        <v>16231000</v>
      </c>
      <c r="C39" s="36">
        <f t="shared" ref="C39:D39" si="26">SUM(C35:C38)</f>
        <v>16558000</v>
      </c>
      <c r="D39" s="36">
        <f t="shared" si="26"/>
        <v>15821000</v>
      </c>
      <c r="M39" t="s">
        <v>338</v>
      </c>
      <c r="N39" t="s">
        <v>380</v>
      </c>
      <c r="O39" t="s">
        <v>380</v>
      </c>
      <c r="P39" t="s">
        <v>380</v>
      </c>
      <c r="R39" t="s">
        <v>332</v>
      </c>
      <c r="T39" t="s">
        <v>381</v>
      </c>
      <c r="U39" t="s">
        <v>381</v>
      </c>
      <c r="V39" t="s">
        <v>381</v>
      </c>
      <c r="X39" t="s">
        <v>223</v>
      </c>
      <c r="Y39">
        <v>1.27</v>
      </c>
      <c r="AA39" t="s">
        <v>279</v>
      </c>
      <c r="AB39" t="s">
        <v>400</v>
      </c>
    </row>
    <row r="40" spans="1:28" x14ac:dyDescent="0.2">
      <c r="A40" s="13" t="s">
        <v>156</v>
      </c>
      <c r="B40" s="81">
        <f>B39+B33+B31+B29+B32</f>
        <v>44553000</v>
      </c>
      <c r="C40" s="81">
        <f t="shared" ref="C40:D40" si="27">C39+C33+C31+C29+C32</f>
        <v>48163000</v>
      </c>
      <c r="D40" s="81">
        <f t="shared" si="27"/>
        <v>46630000</v>
      </c>
      <c r="R40" t="s">
        <v>367</v>
      </c>
      <c r="T40" t="s">
        <v>381</v>
      </c>
      <c r="U40" t="s">
        <v>381</v>
      </c>
      <c r="V40" t="s">
        <v>381</v>
      </c>
      <c r="X40" t="s">
        <v>224</v>
      </c>
      <c r="Y40" t="s">
        <v>393</v>
      </c>
      <c r="AA40" t="s">
        <v>280</v>
      </c>
      <c r="AB40" s="76">
        <v>8.4027777777777771E-2</v>
      </c>
    </row>
    <row r="41" spans="1:28" x14ac:dyDescent="0.2">
      <c r="B41" s="36"/>
      <c r="C41" s="36"/>
      <c r="X41" t="s">
        <v>226</v>
      </c>
      <c r="Y41">
        <v>86.34</v>
      </c>
      <c r="AA41" t="s">
        <v>281</v>
      </c>
      <c r="AB41" t="s">
        <v>401</v>
      </c>
    </row>
    <row r="42" spans="1:28" x14ac:dyDescent="0.2">
      <c r="B42" s="36"/>
      <c r="C42" s="36"/>
      <c r="L42" t="s">
        <v>339</v>
      </c>
      <c r="N42" s="1">
        <v>1971000</v>
      </c>
      <c r="O42" s="1">
        <v>2999000</v>
      </c>
      <c r="P42" s="1">
        <v>2929000</v>
      </c>
      <c r="R42" t="s">
        <v>368</v>
      </c>
      <c r="T42" s="1">
        <v>28322000</v>
      </c>
      <c r="U42" s="1">
        <v>31605000</v>
      </c>
      <c r="V42" s="1">
        <v>30809000</v>
      </c>
      <c r="X42" t="s">
        <v>227</v>
      </c>
      <c r="Y42">
        <v>1.02</v>
      </c>
    </row>
    <row r="43" spans="1:28" x14ac:dyDescent="0.2">
      <c r="A43" s="13" t="s">
        <v>157</v>
      </c>
      <c r="L43" t="s">
        <v>340</v>
      </c>
      <c r="N43" t="s">
        <v>380</v>
      </c>
      <c r="O43" t="s">
        <v>380</v>
      </c>
      <c r="P43" t="s">
        <v>380</v>
      </c>
      <c r="X43" t="s">
        <v>228</v>
      </c>
      <c r="Y43">
        <v>25.93</v>
      </c>
    </row>
    <row r="44" spans="1:28" x14ac:dyDescent="0.2">
      <c r="A44" t="s">
        <v>158</v>
      </c>
      <c r="C44" s="1" t="str">
        <f>AB23</f>
        <v>633.72M</v>
      </c>
      <c r="R44" t="s">
        <v>369</v>
      </c>
      <c r="X44" t="s">
        <v>229</v>
      </c>
    </row>
    <row r="45" spans="1:28" ht="12.95" customHeight="1" x14ac:dyDescent="0.2">
      <c r="A45" t="s">
        <v>159</v>
      </c>
      <c r="C45">
        <f>AB13</f>
        <v>0.84</v>
      </c>
      <c r="L45" t="s">
        <v>341</v>
      </c>
      <c r="N45" s="1">
        <v>1971000</v>
      </c>
      <c r="O45" s="1">
        <v>2999000</v>
      </c>
      <c r="P45" s="1">
        <v>2929000</v>
      </c>
      <c r="R45" t="s">
        <v>370</v>
      </c>
      <c r="T45" t="s">
        <v>381</v>
      </c>
      <c r="U45" t="s">
        <v>381</v>
      </c>
      <c r="V45" t="s">
        <v>381</v>
      </c>
      <c r="X45" t="s">
        <v>230</v>
      </c>
      <c r="Y45" t="s">
        <v>394</v>
      </c>
    </row>
    <row r="46" spans="1:28" x14ac:dyDescent="0.2">
      <c r="A46" t="s">
        <v>404</v>
      </c>
      <c r="C46" t="str">
        <f>LEFT(L4,5)</f>
        <v>64.17</v>
      </c>
      <c r="R46" t="s">
        <v>371</v>
      </c>
      <c r="T46" t="s">
        <v>381</v>
      </c>
      <c r="U46" t="s">
        <v>381</v>
      </c>
      <c r="V46" t="s">
        <v>381</v>
      </c>
      <c r="X46" t="s">
        <v>232</v>
      </c>
      <c r="Y46" t="s">
        <v>222</v>
      </c>
    </row>
    <row r="47" spans="1:28" x14ac:dyDescent="0.2">
      <c r="R47" t="s">
        <v>372</v>
      </c>
      <c r="T47" t="s">
        <v>381</v>
      </c>
      <c r="U47" t="s">
        <v>381</v>
      </c>
      <c r="V47" t="s">
        <v>381</v>
      </c>
    </row>
    <row r="48" spans="1:28" ht="15.75" x14ac:dyDescent="0.25">
      <c r="A48" s="109" t="s">
        <v>160</v>
      </c>
      <c r="B48" s="109"/>
      <c r="C48" s="109"/>
      <c r="D48" s="109"/>
      <c r="R48" t="s">
        <v>373</v>
      </c>
      <c r="T48" s="1">
        <v>53000</v>
      </c>
      <c r="U48" s="1">
        <v>54000</v>
      </c>
      <c r="V48" s="1">
        <v>56000</v>
      </c>
      <c r="X48" t="s">
        <v>234</v>
      </c>
    </row>
    <row r="49" spans="1:24" ht="25.5" x14ac:dyDescent="0.2">
      <c r="A49" s="14" t="s">
        <v>102</v>
      </c>
      <c r="B49" s="14" t="s">
        <v>44</v>
      </c>
      <c r="C49" s="14" t="s">
        <v>43</v>
      </c>
      <c r="D49" s="15" t="s">
        <v>161</v>
      </c>
      <c r="R49" t="s">
        <v>374</v>
      </c>
      <c r="T49" s="1">
        <v>12599000</v>
      </c>
      <c r="U49" s="1">
        <v>13155000</v>
      </c>
      <c r="V49" s="1">
        <v>12959000</v>
      </c>
      <c r="X49" t="s">
        <v>235</v>
      </c>
    </row>
    <row r="50" spans="1:24" x14ac:dyDescent="0.2">
      <c r="A50" s="33">
        <v>1998</v>
      </c>
      <c r="B50">
        <v>165</v>
      </c>
      <c r="C50">
        <v>0</v>
      </c>
      <c r="D50">
        <f>SUM(B50:C50)</f>
        <v>165</v>
      </c>
      <c r="R50" t="s">
        <v>375</v>
      </c>
      <c r="T50" t="s">
        <v>381</v>
      </c>
      <c r="U50" t="s">
        <v>381</v>
      </c>
      <c r="V50" t="s">
        <v>381</v>
      </c>
    </row>
    <row r="51" spans="1:24" x14ac:dyDescent="0.2">
      <c r="A51" s="33">
        <v>1999</v>
      </c>
      <c r="B51">
        <v>178</v>
      </c>
      <c r="C51">
        <v>0</v>
      </c>
      <c r="D51">
        <f>SUM(B51:C51)</f>
        <v>178</v>
      </c>
      <c r="R51" t="s">
        <v>376</v>
      </c>
      <c r="T51" s="1">
        <v>4470000</v>
      </c>
      <c r="U51" s="1">
        <v>3925000</v>
      </c>
      <c r="V51" s="1">
        <v>3487000</v>
      </c>
    </row>
    <row r="52" spans="1:24" x14ac:dyDescent="0.2">
      <c r="A52" s="33">
        <v>2000</v>
      </c>
      <c r="B52">
        <v>190</v>
      </c>
      <c r="C52">
        <v>585</v>
      </c>
      <c r="D52">
        <f>SUM(B52:C52)</f>
        <v>775</v>
      </c>
      <c r="R52" t="s">
        <v>377</v>
      </c>
      <c r="T52" s="1">
        <v>-891000</v>
      </c>
      <c r="U52" s="1">
        <v>-576000</v>
      </c>
      <c r="V52" s="1">
        <v>-681000</v>
      </c>
    </row>
    <row r="53" spans="1:24" x14ac:dyDescent="0.2">
      <c r="A53" s="33">
        <v>2001</v>
      </c>
      <c r="B53">
        <v>203</v>
      </c>
      <c r="C53">
        <v>20</v>
      </c>
      <c r="D53">
        <f>SUM(B53:C53)</f>
        <v>223</v>
      </c>
    </row>
    <row r="54" spans="1:24" x14ac:dyDescent="0.2">
      <c r="A54" s="33">
        <v>2002</v>
      </c>
      <c r="B54">
        <v>218</v>
      </c>
      <c r="C54">
        <v>14</v>
      </c>
      <c r="D54">
        <f>SUM(B54:C54)</f>
        <v>232</v>
      </c>
      <c r="R54" t="s">
        <v>378</v>
      </c>
      <c r="T54" s="1">
        <v>16231000</v>
      </c>
      <c r="U54" s="1">
        <v>16558000</v>
      </c>
      <c r="V54" s="1">
        <v>15821000</v>
      </c>
    </row>
    <row r="56" spans="1:24" x14ac:dyDescent="0.2">
      <c r="A56" t="s">
        <v>162</v>
      </c>
      <c r="B56" s="19">
        <f>(B54/B50)^(1/4)-1</f>
        <v>7.2119357306984266E-2</v>
      </c>
      <c r="D56" s="19">
        <f>(D54/D50)^(1/4)-1</f>
        <v>8.8932626188486852E-2</v>
      </c>
      <c r="E56" t="e">
        <f ca="1">GetFormula(D56)</f>
        <v>#NAME?</v>
      </c>
      <c r="R56" t="s">
        <v>379</v>
      </c>
      <c r="T56" s="1">
        <v>16231000</v>
      </c>
      <c r="U56" s="1">
        <v>16558000</v>
      </c>
      <c r="V56" s="1">
        <v>15821000</v>
      </c>
    </row>
  </sheetData>
  <mergeCells count="2">
    <mergeCell ref="A1:D1"/>
    <mergeCell ref="A48:D48"/>
  </mergeCells>
  <phoneticPr fontId="13" type="noConversion"/>
  <printOptions headings="1" gridLines="1"/>
  <pageMargins left="0.75" right="0.75" top="1" bottom="1" header="0.5" footer="0.5"/>
  <pageSetup scale="5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M37"/>
  <sheetViews>
    <sheetView topLeftCell="A10" workbookViewId="0">
      <selection activeCell="D28" sqref="D28"/>
    </sheetView>
  </sheetViews>
  <sheetFormatPr defaultRowHeight="12.75" x14ac:dyDescent="0.2"/>
  <cols>
    <col min="1" max="1" width="42.85546875" bestFit="1" customWidth="1"/>
    <col min="2" max="3" width="10.42578125" bestFit="1" customWidth="1"/>
    <col min="4" max="4" width="22" bestFit="1" customWidth="1"/>
  </cols>
  <sheetData>
    <row r="1" spans="1:13" ht="18" x14ac:dyDescent="0.2">
      <c r="A1" s="105" t="s">
        <v>422</v>
      </c>
      <c r="B1" s="105"/>
      <c r="C1" s="105"/>
      <c r="D1" s="105"/>
    </row>
    <row r="2" spans="1:13" x14ac:dyDescent="0.2">
      <c r="A2" t="s">
        <v>167</v>
      </c>
      <c r="C2" s="1" t="str">
        <f>LEFT('Page 528'!C44,6)</f>
        <v>633.72</v>
      </c>
    </row>
    <row r="3" spans="1:13" x14ac:dyDescent="0.2">
      <c r="A3" t="s">
        <v>432</v>
      </c>
      <c r="C3" t="str">
        <f>'Page 528'!C46</f>
        <v>64.17</v>
      </c>
      <c r="I3" s="59"/>
    </row>
    <row r="4" spans="1:13" x14ac:dyDescent="0.2">
      <c r="A4" s="12" t="s">
        <v>433</v>
      </c>
      <c r="B4" s="60"/>
      <c r="C4" s="38">
        <f>C3*C2*1000</f>
        <v>40665812.400000006</v>
      </c>
      <c r="D4" t="e">
        <f ca="1">GetFormula(C4)</f>
        <v>#NAME?</v>
      </c>
    </row>
    <row r="5" spans="1:13" ht="23.25" x14ac:dyDescent="0.2">
      <c r="A5" s="8"/>
      <c r="B5" s="1"/>
      <c r="I5" s="84" t="s">
        <v>33</v>
      </c>
    </row>
    <row r="6" spans="1:13" x14ac:dyDescent="0.2">
      <c r="A6" s="8"/>
      <c r="B6" s="52" t="str">
        <f>'Page 528'!C3</f>
        <v>Feb 2, 2013</v>
      </c>
      <c r="C6" s="52" t="str">
        <f>'Page 528'!B3</f>
        <v>Feb 1, 2014</v>
      </c>
      <c r="I6" t="s">
        <v>434</v>
      </c>
    </row>
    <row r="7" spans="1:13" ht="17.25" x14ac:dyDescent="0.2">
      <c r="A7" s="48" t="s">
        <v>151</v>
      </c>
      <c r="B7" s="1">
        <f>'Page 528'!C28</f>
        <v>2994000</v>
      </c>
      <c r="C7" s="1">
        <f>'Page 528'!B28</f>
        <v>1160000</v>
      </c>
      <c r="I7" s="85" t="s">
        <v>407</v>
      </c>
    </row>
    <row r="8" spans="1:13" x14ac:dyDescent="0.2">
      <c r="A8" s="48" t="s">
        <v>405</v>
      </c>
      <c r="B8" s="1">
        <f>-'Page 528'!C15</f>
        <v>-784000</v>
      </c>
      <c r="C8" s="1">
        <f>-'Page 528'!B15</f>
        <v>-695000</v>
      </c>
    </row>
    <row r="9" spans="1:13" ht="15" customHeight="1" x14ac:dyDescent="0.2">
      <c r="A9" s="8" t="s">
        <v>153</v>
      </c>
      <c r="B9" s="1">
        <f>'Page 528'!C31</f>
        <v>14654000</v>
      </c>
      <c r="C9" s="1">
        <f>'Page 528'!B31</f>
        <v>12622000</v>
      </c>
      <c r="I9" s="55" t="s">
        <v>408</v>
      </c>
      <c r="J9" s="55" t="s">
        <v>409</v>
      </c>
      <c r="K9" s="55" t="s">
        <v>410</v>
      </c>
      <c r="L9" s="55" t="s">
        <v>411</v>
      </c>
      <c r="M9" s="55" t="s">
        <v>412</v>
      </c>
    </row>
    <row r="10" spans="1:13" x14ac:dyDescent="0.2">
      <c r="A10" s="8" t="str">
        <f>'Page 528'!A32</f>
        <v>Other Liabilities</v>
      </c>
      <c r="B10" s="1">
        <f>'Page 528'!C32</f>
        <v>1609000</v>
      </c>
      <c r="C10" s="1">
        <f>'Page 528'!B32</f>
        <v>1490000</v>
      </c>
      <c r="I10" s="86" t="s">
        <v>413</v>
      </c>
      <c r="J10" s="86">
        <v>0</v>
      </c>
      <c r="K10" s="86">
        <v>0.01</v>
      </c>
      <c r="L10" s="86">
        <v>0</v>
      </c>
      <c r="M10" s="86">
        <v>0.01</v>
      </c>
    </row>
    <row r="11" spans="1:13" x14ac:dyDescent="0.2">
      <c r="A11" s="8" t="str">
        <f>'Page 528'!A33</f>
        <v>Deferred Long Term Liability Charges</v>
      </c>
      <c r="B11" s="1">
        <f>'Page 528'!C33</f>
        <v>1311000</v>
      </c>
      <c r="C11" s="1">
        <f>'Page 528'!B33</f>
        <v>1433000</v>
      </c>
      <c r="I11" s="86" t="s">
        <v>414</v>
      </c>
      <c r="J11" s="86">
        <v>0.04</v>
      </c>
      <c r="K11" s="86">
        <v>0.04</v>
      </c>
      <c r="L11" s="86">
        <v>0.06</v>
      </c>
      <c r="M11" s="86">
        <v>0.04</v>
      </c>
    </row>
    <row r="12" spans="1:13" x14ac:dyDescent="0.2">
      <c r="A12" s="50" t="s">
        <v>163</v>
      </c>
      <c r="B12" s="38">
        <f>SUM(B7:B11)</f>
        <v>19784000</v>
      </c>
      <c r="C12" s="38">
        <f>SUM(C7:C11)</f>
        <v>16010000</v>
      </c>
      <c r="D12" t="e">
        <f ca="1">GetFormula(C12)</f>
        <v>#NAME?</v>
      </c>
      <c r="I12" s="86" t="s">
        <v>415</v>
      </c>
      <c r="J12" s="86">
        <v>0.53</v>
      </c>
      <c r="K12" s="86">
        <v>0.51</v>
      </c>
      <c r="L12" s="86">
        <v>0.44</v>
      </c>
      <c r="M12" s="86">
        <v>0.52</v>
      </c>
    </row>
    <row r="13" spans="1:13" x14ac:dyDescent="0.2">
      <c r="A13" s="51"/>
      <c r="B13" s="43"/>
      <c r="C13" s="43"/>
      <c r="I13" s="86" t="s">
        <v>416</v>
      </c>
      <c r="J13" s="86">
        <v>0.95</v>
      </c>
      <c r="K13" s="86">
        <v>0.94</v>
      </c>
      <c r="L13" s="86">
        <v>0.9</v>
      </c>
      <c r="M13" s="86">
        <v>0.99</v>
      </c>
    </row>
    <row r="14" spans="1:13" x14ac:dyDescent="0.2">
      <c r="A14" s="50" t="s">
        <v>166</v>
      </c>
      <c r="B14" s="60"/>
      <c r="C14" s="38">
        <f>C12+C4</f>
        <v>56675812.400000006</v>
      </c>
      <c r="D14" t="e">
        <f ca="1">GetFormula(C14)</f>
        <v>#NAME?</v>
      </c>
      <c r="I14" s="86" t="s">
        <v>417</v>
      </c>
      <c r="J14" s="86">
        <v>1.63</v>
      </c>
      <c r="K14" s="86">
        <v>1.62</v>
      </c>
      <c r="L14" s="86">
        <v>1.59</v>
      </c>
      <c r="M14" s="86">
        <v>1.69</v>
      </c>
    </row>
    <row r="15" spans="1:13" x14ac:dyDescent="0.2">
      <c r="A15" s="8"/>
      <c r="C15" s="1"/>
      <c r="I15" s="86" t="s">
        <v>418</v>
      </c>
      <c r="J15" s="86">
        <v>2.34</v>
      </c>
      <c r="K15" s="86">
        <v>2.33</v>
      </c>
      <c r="L15" s="86">
        <v>2.3199999999999998</v>
      </c>
      <c r="M15" s="86">
        <v>2.42</v>
      </c>
    </row>
    <row r="16" spans="1:13" x14ac:dyDescent="0.2">
      <c r="A16" s="8" t="s">
        <v>420</v>
      </c>
      <c r="C16" s="1">
        <f>-'Page 528'!B8</f>
        <v>1126000</v>
      </c>
      <c r="I16" s="86" t="s">
        <v>419</v>
      </c>
      <c r="J16" s="86">
        <v>3.05</v>
      </c>
      <c r="K16" s="86">
        <v>3.04</v>
      </c>
      <c r="L16" s="86">
        <v>3.05</v>
      </c>
      <c r="M16" s="86">
        <v>3.13</v>
      </c>
    </row>
    <row r="17" spans="1:4" x14ac:dyDescent="0.2">
      <c r="A17" s="8" t="s">
        <v>406</v>
      </c>
      <c r="C17" s="1">
        <f>AVERAGE(B12:C12)</f>
        <v>17897000</v>
      </c>
      <c r="D17" t="e">
        <f ca="1">GetFormula(C17)</f>
        <v>#NAME?</v>
      </c>
    </row>
    <row r="18" spans="1:4" ht="15.75" x14ac:dyDescent="0.3">
      <c r="A18" s="50" t="s">
        <v>164</v>
      </c>
      <c r="B18" s="60"/>
      <c r="C18" s="35">
        <f>C16/C17</f>
        <v>6.2915572442308762E-2</v>
      </c>
      <c r="D18" t="e">
        <f ca="1">GetFormula(C18)</f>
        <v>#NAME?</v>
      </c>
    </row>
    <row r="19" spans="1:4" x14ac:dyDescent="0.2">
      <c r="A19" s="8"/>
      <c r="C19" s="1"/>
    </row>
    <row r="20" spans="1:4" x14ac:dyDescent="0.2">
      <c r="A20" s="8" t="s">
        <v>165</v>
      </c>
      <c r="B20" s="1"/>
      <c r="C20" s="1">
        <f>'Page 528'!B9</f>
        <v>3103000</v>
      </c>
    </row>
    <row r="21" spans="1:4" x14ac:dyDescent="0.2">
      <c r="A21" s="8" t="s">
        <v>141</v>
      </c>
      <c r="B21" s="1"/>
      <c r="C21" s="1">
        <f>-'Page 528'!B10</f>
        <v>1132000</v>
      </c>
    </row>
    <row r="22" spans="1:4" ht="15.75" x14ac:dyDescent="0.3">
      <c r="A22" s="12" t="s">
        <v>19</v>
      </c>
      <c r="B22" s="60"/>
      <c r="C22" s="11">
        <f>C21/C20</f>
        <v>0.36480825008056722</v>
      </c>
      <c r="D22" t="e">
        <f ca="1">GetFormula(C22)</f>
        <v>#NAME?</v>
      </c>
    </row>
    <row r="24" spans="1:4" ht="15.75" x14ac:dyDescent="0.3">
      <c r="A24" t="s">
        <v>15</v>
      </c>
      <c r="C24">
        <f>'Page 528'!C45</f>
        <v>0.84</v>
      </c>
    </row>
    <row r="25" spans="1:4" ht="15.75" x14ac:dyDescent="0.3">
      <c r="A25" t="s">
        <v>17</v>
      </c>
      <c r="C25" s="9">
        <f>J15/100</f>
        <v>2.3399999999999997E-2</v>
      </c>
      <c r="D25" s="87" t="s">
        <v>421</v>
      </c>
    </row>
    <row r="26" spans="1:4" ht="15.75" x14ac:dyDescent="0.3">
      <c r="A26" t="s">
        <v>16</v>
      </c>
      <c r="C26" s="9">
        <f>'Page 532'!B6</f>
        <v>8.8648648648648645E-2</v>
      </c>
    </row>
    <row r="27" spans="1:4" ht="15.75" x14ac:dyDescent="0.3">
      <c r="A27" s="12" t="s">
        <v>14</v>
      </c>
      <c r="B27" s="60"/>
      <c r="C27" s="35">
        <f>C25+C24*(C26-C25)</f>
        <v>7.8208864864864863E-2</v>
      </c>
      <c r="D27" t="e">
        <f ca="1">GetFormula(C27)</f>
        <v>#NAME?</v>
      </c>
    </row>
    <row r="29" spans="1:4" ht="25.5" x14ac:dyDescent="0.2">
      <c r="A29" s="12" t="s">
        <v>0</v>
      </c>
      <c r="B29" s="60"/>
      <c r="C29" s="11">
        <f>C4/C14*C27+(1-C22)*C12/C14*C18</f>
        <v>6.7405154690753422E-2</v>
      </c>
      <c r="D29" s="8" t="e">
        <f ca="1">GetFormula(C29)</f>
        <v>#NAME?</v>
      </c>
    </row>
    <row r="33" spans="4:5" x14ac:dyDescent="0.2">
      <c r="E33" s="59"/>
    </row>
    <row r="34" spans="4:5" x14ac:dyDescent="0.2">
      <c r="E34" s="59"/>
    </row>
    <row r="35" spans="4:5" x14ac:dyDescent="0.2">
      <c r="E35" s="59"/>
    </row>
    <row r="36" spans="4:5" x14ac:dyDescent="0.2">
      <c r="D36" s="59" t="s">
        <v>436</v>
      </c>
      <c r="E36" s="59"/>
    </row>
    <row r="37" spans="4:5" x14ac:dyDescent="0.2">
      <c r="D37" s="59" t="s">
        <v>435</v>
      </c>
    </row>
  </sheetData>
  <mergeCells count="1">
    <mergeCell ref="A1:D1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C8"/>
  <sheetViews>
    <sheetView workbookViewId="0">
      <selection activeCell="C7" sqref="C7"/>
    </sheetView>
  </sheetViews>
  <sheetFormatPr defaultRowHeight="12.75" x14ac:dyDescent="0.2"/>
  <cols>
    <col min="1" max="1" width="38.42578125" customWidth="1"/>
    <col min="3" max="3" width="20.140625" bestFit="1" customWidth="1"/>
  </cols>
  <sheetData>
    <row r="1" spans="1:3" ht="21" x14ac:dyDescent="0.35">
      <c r="A1" s="101" t="s">
        <v>34</v>
      </c>
      <c r="B1" s="101"/>
      <c r="C1" s="101"/>
    </row>
    <row r="2" spans="1:3" x14ac:dyDescent="0.2">
      <c r="A2" t="s">
        <v>35</v>
      </c>
      <c r="B2" s="6">
        <v>18.5</v>
      </c>
    </row>
    <row r="3" spans="1:3" x14ac:dyDescent="0.2">
      <c r="A3" t="s">
        <v>37</v>
      </c>
      <c r="B3" s="2">
        <v>0.5</v>
      </c>
    </row>
    <row r="4" spans="1:3" x14ac:dyDescent="0.2">
      <c r="A4" t="s">
        <v>36</v>
      </c>
      <c r="B4" s="2">
        <v>0.06</v>
      </c>
    </row>
    <row r="6" spans="1:3" ht="15.75" x14ac:dyDescent="0.3">
      <c r="A6" s="12" t="s">
        <v>38</v>
      </c>
      <c r="B6" s="35">
        <f>B3*(1+B4)/B2+B4</f>
        <v>8.8648648648648645E-2</v>
      </c>
      <c r="C6" t="e">
        <f ca="1">GetFormula(B6)</f>
        <v>#NAME?</v>
      </c>
    </row>
    <row r="7" spans="1:3" ht="15.75" x14ac:dyDescent="0.3">
      <c r="A7" t="s">
        <v>39</v>
      </c>
      <c r="B7" s="9">
        <f>'Page 529-531'!C25</f>
        <v>2.3399999999999997E-2</v>
      </c>
    </row>
    <row r="8" spans="1:3" ht="15.75" x14ac:dyDescent="0.3">
      <c r="A8" s="12" t="s">
        <v>40</v>
      </c>
      <c r="B8" s="11">
        <f>B6-B7</f>
        <v>6.5248648648648655E-2</v>
      </c>
      <c r="C8" t="e">
        <f ca="1">GetFormula(B8)</f>
        <v>#NAME?</v>
      </c>
    </row>
  </sheetData>
  <mergeCells count="1">
    <mergeCell ref="A1:C1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O27"/>
  <sheetViews>
    <sheetView workbookViewId="0">
      <selection activeCell="P8" sqref="P8"/>
    </sheetView>
  </sheetViews>
  <sheetFormatPr defaultRowHeight="12.75" x14ac:dyDescent="0.2"/>
  <cols>
    <col min="1" max="1" width="14.28515625" bestFit="1" customWidth="1"/>
    <col min="2" max="2" width="10.42578125" customWidth="1"/>
    <col min="3" max="3" width="9.85546875" bestFit="1" customWidth="1"/>
    <col min="6" max="6" width="10.28515625" customWidth="1"/>
  </cols>
  <sheetData>
    <row r="1" spans="1:15" ht="18" x14ac:dyDescent="0.25">
      <c r="A1" s="101" t="s">
        <v>446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83"/>
      <c r="O1" s="83"/>
    </row>
    <row r="3" spans="1:15" s="7" customFormat="1" ht="25.5" x14ac:dyDescent="0.2">
      <c r="A3" s="15"/>
      <c r="B3" s="15" t="s">
        <v>445</v>
      </c>
      <c r="C3" s="15" t="s">
        <v>444</v>
      </c>
      <c r="D3" s="15"/>
      <c r="E3" s="15"/>
    </row>
    <row r="4" spans="1:15" x14ac:dyDescent="0.2">
      <c r="A4" t="s">
        <v>20</v>
      </c>
      <c r="B4" s="9">
        <v>7.400000000000001E-2</v>
      </c>
      <c r="C4" s="9">
        <v>9.0999999999999998E-2</v>
      </c>
      <c r="D4" s="10"/>
      <c r="E4" s="10"/>
      <c r="G4" s="10"/>
      <c r="H4" s="10"/>
      <c r="I4" s="10"/>
    </row>
    <row r="5" spans="1:15" x14ac:dyDescent="0.2">
      <c r="A5" t="s">
        <v>41</v>
      </c>
      <c r="B5" s="9">
        <v>2.5000000000000001E-2</v>
      </c>
      <c r="C5" s="9">
        <v>5.0999999999999997E-2</v>
      </c>
      <c r="D5" s="10"/>
      <c r="E5" s="10"/>
      <c r="G5" s="10"/>
      <c r="H5" s="10"/>
      <c r="I5" s="10"/>
    </row>
    <row r="6" spans="1:15" x14ac:dyDescent="0.2">
      <c r="A6" t="s">
        <v>21</v>
      </c>
      <c r="B6" s="9">
        <v>5.9000000000000004E-2</v>
      </c>
      <c r="C6" s="9">
        <v>7.2999999999999995E-2</v>
      </c>
      <c r="D6" s="10"/>
      <c r="E6" s="10"/>
      <c r="G6" s="10"/>
      <c r="H6" s="10"/>
      <c r="I6" s="10"/>
    </row>
    <row r="7" spans="1:15" x14ac:dyDescent="0.2">
      <c r="A7" t="s">
        <v>22</v>
      </c>
      <c r="B7" s="9">
        <v>5.0999999999999997E-2</v>
      </c>
      <c r="C7" s="9">
        <v>6.9000000000000006E-2</v>
      </c>
      <c r="D7" s="10"/>
      <c r="E7" s="10"/>
      <c r="G7" s="10"/>
      <c r="H7" s="10"/>
      <c r="I7" s="10"/>
    </row>
    <row r="8" spans="1:15" x14ac:dyDescent="0.2">
      <c r="A8" t="s">
        <v>437</v>
      </c>
      <c r="B8" s="9">
        <v>5.4000000000000006E-2</v>
      </c>
      <c r="C8" s="9">
        <v>9.3000000000000013E-2</v>
      </c>
      <c r="D8" s="10"/>
      <c r="E8" s="10"/>
      <c r="G8" s="10"/>
      <c r="H8" s="10"/>
      <c r="I8" s="10"/>
    </row>
    <row r="9" spans="1:15" x14ac:dyDescent="0.2">
      <c r="A9" t="s">
        <v>23</v>
      </c>
      <c r="B9" s="9">
        <v>3.1E-2</v>
      </c>
      <c r="C9" s="9">
        <v>5.7000000000000002E-2</v>
      </c>
      <c r="D9" s="10"/>
      <c r="E9" s="10"/>
      <c r="G9" s="10"/>
      <c r="H9" s="10"/>
      <c r="I9" s="10"/>
    </row>
    <row r="10" spans="1:15" x14ac:dyDescent="0.2">
      <c r="A10" t="s">
        <v>24</v>
      </c>
      <c r="B10" s="9">
        <v>3.1E-2</v>
      </c>
      <c r="C10" s="9">
        <v>8.1000000000000003E-2</v>
      </c>
      <c r="D10" s="10"/>
      <c r="E10" s="10"/>
      <c r="G10" s="10"/>
      <c r="H10" s="10"/>
      <c r="I10" s="10"/>
    </row>
    <row r="11" spans="1:15" x14ac:dyDescent="0.2">
      <c r="A11" t="s">
        <v>25</v>
      </c>
      <c r="B11" s="9">
        <v>3.7999999999999999E-2</v>
      </c>
      <c r="C11" s="9">
        <v>6.4000000000000001E-2</v>
      </c>
      <c r="D11" s="10"/>
      <c r="E11" s="10"/>
      <c r="G11" s="10"/>
      <c r="H11" s="10"/>
      <c r="I11" s="10"/>
    </row>
    <row r="12" spans="1:15" x14ac:dyDescent="0.2">
      <c r="A12" t="s">
        <v>26</v>
      </c>
      <c r="B12" s="9">
        <v>0.02</v>
      </c>
      <c r="C12" s="9">
        <v>6.0999999999999999E-2</v>
      </c>
      <c r="D12" s="10"/>
      <c r="E12" s="10"/>
      <c r="G12" s="10"/>
      <c r="H12" s="10"/>
      <c r="I12" s="10"/>
    </row>
    <row r="13" spans="1:15" x14ac:dyDescent="0.2">
      <c r="A13" t="s">
        <v>27</v>
      </c>
      <c r="B13" s="9">
        <v>3.7999999999999999E-2</v>
      </c>
      <c r="C13" s="9">
        <v>8.5000000000000006E-2</v>
      </c>
      <c r="D13" s="10"/>
      <c r="E13" s="10"/>
      <c r="G13" s="10"/>
      <c r="H13" s="10"/>
      <c r="I13" s="10"/>
    </row>
    <row r="14" spans="1:15" x14ac:dyDescent="0.2">
      <c r="A14" t="s">
        <v>438</v>
      </c>
      <c r="B14" s="9">
        <v>0.05</v>
      </c>
      <c r="C14" s="9">
        <v>7.0999999999999994E-2</v>
      </c>
      <c r="D14" s="10"/>
      <c r="E14" s="10"/>
      <c r="G14" s="10"/>
      <c r="H14" s="10"/>
      <c r="I14" s="10"/>
    </row>
    <row r="15" spans="1:15" x14ac:dyDescent="0.2">
      <c r="A15" t="s">
        <v>439</v>
      </c>
      <c r="B15" s="9">
        <v>5.7999999999999996E-2</v>
      </c>
      <c r="C15" s="9">
        <v>7.5999999999999998E-2</v>
      </c>
      <c r="D15" s="10"/>
      <c r="E15" s="10"/>
      <c r="G15" s="10"/>
      <c r="H15" s="10"/>
      <c r="I15" s="10"/>
    </row>
    <row r="16" spans="1:15" x14ac:dyDescent="0.2">
      <c r="A16" t="s">
        <v>440</v>
      </c>
      <c r="B16" s="9">
        <v>4.2000000000000003E-2</v>
      </c>
      <c r="C16" s="9">
        <v>7.2000000000000008E-2</v>
      </c>
      <c r="D16" s="10"/>
      <c r="E16" s="10"/>
      <c r="G16" s="10"/>
      <c r="H16" s="10"/>
      <c r="I16" s="10"/>
    </row>
    <row r="17" spans="1:11" x14ac:dyDescent="0.2">
      <c r="A17" t="s">
        <v>171</v>
      </c>
      <c r="B17" s="9">
        <v>7.2999999999999995E-2</v>
      </c>
      <c r="C17" s="9">
        <v>9.5000000000000001E-2</v>
      </c>
      <c r="D17" s="10"/>
      <c r="E17" s="10"/>
      <c r="G17" s="10"/>
      <c r="H17" s="10"/>
      <c r="I17" s="10"/>
    </row>
    <row r="18" spans="1:11" x14ac:dyDescent="0.2">
      <c r="A18" t="s">
        <v>28</v>
      </c>
      <c r="B18" s="9">
        <v>3.6000000000000004E-2</v>
      </c>
      <c r="C18" s="9">
        <v>5.7999999999999996E-2</v>
      </c>
      <c r="D18" s="10"/>
      <c r="E18" s="10"/>
      <c r="G18" s="10"/>
      <c r="H18" s="10"/>
      <c r="I18" s="10"/>
    </row>
    <row r="19" spans="1:11" x14ac:dyDescent="0.2">
      <c r="A19" t="s">
        <v>29</v>
      </c>
      <c r="B19" s="9">
        <v>6.3E-2</v>
      </c>
      <c r="C19" s="9">
        <v>8.6999999999999994E-2</v>
      </c>
      <c r="D19" s="10"/>
      <c r="E19" s="10"/>
      <c r="G19" s="10"/>
      <c r="H19" s="10"/>
      <c r="I19" s="10"/>
    </row>
    <row r="20" spans="1:11" x14ac:dyDescent="0.2">
      <c r="A20" s="59" t="s">
        <v>30</v>
      </c>
      <c r="B20" s="9">
        <v>4.2000000000000003E-2</v>
      </c>
      <c r="C20" s="9">
        <v>6.0999999999999999E-2</v>
      </c>
      <c r="D20" s="16"/>
      <c r="E20" s="16"/>
      <c r="G20" s="10"/>
      <c r="H20" s="10"/>
      <c r="I20" s="10"/>
    </row>
    <row r="21" spans="1:11" x14ac:dyDescent="0.2">
      <c r="A21" t="s">
        <v>31</v>
      </c>
      <c r="B21" s="9">
        <v>5.2999999999999999E-2</v>
      </c>
      <c r="C21" s="9">
        <v>7.2000000000000008E-2</v>
      </c>
    </row>
    <row r="22" spans="1:11" x14ac:dyDescent="0.2">
      <c r="A22" t="s">
        <v>32</v>
      </c>
      <c r="B22" s="9">
        <v>6.3E-2</v>
      </c>
      <c r="C22" s="9">
        <v>8.3000000000000004E-2</v>
      </c>
    </row>
    <row r="23" spans="1:11" x14ac:dyDescent="0.2">
      <c r="A23" s="13" t="s">
        <v>441</v>
      </c>
      <c r="B23" s="95">
        <v>4.8000000000000001E-2</v>
      </c>
      <c r="C23" s="95">
        <v>6.9000000000000006E-2</v>
      </c>
    </row>
    <row r="24" spans="1:11" x14ac:dyDescent="0.2">
      <c r="A24" s="13" t="s">
        <v>442</v>
      </c>
      <c r="B24" s="95">
        <v>0.05</v>
      </c>
      <c r="C24" s="95">
        <v>7.0000000000000007E-2</v>
      </c>
    </row>
    <row r="25" spans="1:11" x14ac:dyDescent="0.2">
      <c r="A25" s="13" t="s">
        <v>443</v>
      </c>
      <c r="B25" s="95">
        <v>5.5E-2</v>
      </c>
      <c r="C25" s="95">
        <v>7.0000000000000007E-2</v>
      </c>
    </row>
    <row r="27" spans="1:11" ht="27.75" customHeight="1" x14ac:dyDescent="0.2">
      <c r="A27" s="110" t="s">
        <v>447</v>
      </c>
      <c r="B27" s="110"/>
      <c r="C27" s="110"/>
      <c r="D27" s="110"/>
      <c r="E27" s="110"/>
      <c r="F27" s="110"/>
      <c r="G27" s="110"/>
      <c r="H27" s="110"/>
      <c r="I27" s="110"/>
      <c r="J27" s="110"/>
      <c r="K27" s="110"/>
    </row>
  </sheetData>
  <mergeCells count="2">
    <mergeCell ref="A27:K27"/>
    <mergeCell ref="A1:M1"/>
  </mergeCells>
  <phoneticPr fontId="0" type="noConversion"/>
  <printOptions headings="1" gridLines="1"/>
  <pageMargins left="0.70866141732283505" right="0.70866141732283505" top="0.74803149606299202" bottom="0.74803149606299202" header="0.31496062992126" footer="0.31496062992126"/>
  <pageSetup orientation="portrait" cellComments="atEnd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E45"/>
  <sheetViews>
    <sheetView workbookViewId="0">
      <selection activeCell="E35" sqref="E35"/>
    </sheetView>
  </sheetViews>
  <sheetFormatPr defaultRowHeight="12.75" x14ac:dyDescent="0.2"/>
  <cols>
    <col min="1" max="1" width="42.85546875" customWidth="1"/>
    <col min="2" max="2" width="14.28515625" customWidth="1"/>
    <col min="3" max="3" width="13.140625" customWidth="1"/>
    <col min="4" max="4" width="34.42578125" bestFit="1" customWidth="1"/>
    <col min="5" max="5" width="19.42578125" bestFit="1" customWidth="1"/>
  </cols>
  <sheetData>
    <row r="1" spans="1:5" ht="35.25" customHeight="1" x14ac:dyDescent="0.2">
      <c r="A1" s="105" t="s">
        <v>169</v>
      </c>
      <c r="B1" s="105"/>
      <c r="C1" s="105"/>
      <c r="D1" s="105"/>
      <c r="E1" s="64"/>
    </row>
    <row r="2" spans="1:5" x14ac:dyDescent="0.2">
      <c r="A2" s="1" t="s">
        <v>428</v>
      </c>
      <c r="C2" s="1">
        <f>'Page 529-531'!C2*1000</f>
        <v>633720</v>
      </c>
    </row>
    <row r="3" spans="1:5" x14ac:dyDescent="0.2">
      <c r="A3" s="1" t="str">
        <f>'Page 529-531'!A3</f>
        <v>Market value per share, 7 November 2014</v>
      </c>
      <c r="C3" s="1" t="str">
        <f>'Page 529-531'!C3</f>
        <v>64.17</v>
      </c>
    </row>
    <row r="4" spans="1:5" x14ac:dyDescent="0.2">
      <c r="A4" s="12" t="str">
        <f>'Page 529-531'!A4</f>
        <v>Market value of equity 7 November 2014, E</v>
      </c>
      <c r="B4" s="50"/>
      <c r="C4" s="38">
        <f>C3*C2</f>
        <v>40665812.399999999</v>
      </c>
      <c r="D4" t="e">
        <f ca="1">GetFormula(C4)</f>
        <v>#NAME?</v>
      </c>
    </row>
    <row r="5" spans="1:5" x14ac:dyDescent="0.2">
      <c r="A5" s="8"/>
      <c r="C5" s="1"/>
    </row>
    <row r="6" spans="1:5" x14ac:dyDescent="0.2">
      <c r="A6" s="8"/>
      <c r="B6" s="52" t="str">
        <f>'Page 528'!C3</f>
        <v>Feb 2, 2013</v>
      </c>
      <c r="C6" s="52" t="str">
        <f>'Page 528'!B3</f>
        <v>Feb 1, 2014</v>
      </c>
    </row>
    <row r="7" spans="1:5" x14ac:dyDescent="0.2">
      <c r="A7" s="48" t="s">
        <v>151</v>
      </c>
      <c r="B7" s="1">
        <f>'Page 528'!C28</f>
        <v>2994000</v>
      </c>
      <c r="C7" s="1">
        <f>'Page 528'!B28</f>
        <v>1160000</v>
      </c>
    </row>
    <row r="8" spans="1:5" x14ac:dyDescent="0.2">
      <c r="A8" s="48" t="s">
        <v>405</v>
      </c>
      <c r="B8" s="1">
        <f>-'Page 528'!C15</f>
        <v>-784000</v>
      </c>
      <c r="C8" s="1">
        <f>-'Page 528'!B15</f>
        <v>-695000</v>
      </c>
    </row>
    <row r="9" spans="1:5" x14ac:dyDescent="0.2">
      <c r="A9" s="8" t="s">
        <v>153</v>
      </c>
      <c r="B9" s="1">
        <f>'Page 528'!C31</f>
        <v>14654000</v>
      </c>
      <c r="C9" s="1">
        <f>'Page 528'!B31</f>
        <v>12622000</v>
      </c>
    </row>
    <row r="10" spans="1:5" x14ac:dyDescent="0.2">
      <c r="A10" s="8" t="str">
        <f>'Page 528'!A32</f>
        <v>Other Liabilities</v>
      </c>
      <c r="B10" s="1">
        <f>'Page 528'!C32</f>
        <v>1609000</v>
      </c>
      <c r="C10" s="1">
        <f>'Page 528'!B32</f>
        <v>1490000</v>
      </c>
    </row>
    <row r="11" spans="1:5" x14ac:dyDescent="0.2">
      <c r="A11" s="8" t="str">
        <f>'Page 528'!A33</f>
        <v>Deferred Long Term Liability Charges</v>
      </c>
      <c r="B11" s="1">
        <f>'Page 528'!C33</f>
        <v>1311000</v>
      </c>
      <c r="C11" s="1">
        <f>'Page 528'!B33</f>
        <v>1433000</v>
      </c>
    </row>
    <row r="12" spans="1:5" x14ac:dyDescent="0.2">
      <c r="A12" s="50" t="s">
        <v>163</v>
      </c>
      <c r="B12" s="38">
        <f>SUM(B7:B11)</f>
        <v>19784000</v>
      </c>
      <c r="C12" s="38">
        <f>SUM(C7:C11)</f>
        <v>16010000</v>
      </c>
      <c r="D12" t="e">
        <f ca="1">GetFormula(C12)</f>
        <v>#NAME?</v>
      </c>
    </row>
    <row r="13" spans="1:5" x14ac:dyDescent="0.2">
      <c r="A13" s="48"/>
      <c r="C13" s="1"/>
    </row>
    <row r="14" spans="1:5" x14ac:dyDescent="0.2">
      <c r="A14" s="50" t="s">
        <v>166</v>
      </c>
      <c r="B14" s="50"/>
      <c r="C14" s="38">
        <f>C12+C4</f>
        <v>56675812.399999999</v>
      </c>
      <c r="D14" t="e">
        <f ca="1">GetFormula(C14)</f>
        <v>#NAME?</v>
      </c>
    </row>
    <row r="15" spans="1:5" x14ac:dyDescent="0.2">
      <c r="A15" s="8"/>
      <c r="C15" s="1"/>
    </row>
    <row r="16" spans="1:5" x14ac:dyDescent="0.2">
      <c r="A16" s="8" t="s">
        <v>420</v>
      </c>
      <c r="C16" s="1">
        <f>-'Page 528'!B8</f>
        <v>1126000</v>
      </c>
    </row>
    <row r="17" spans="1:4" x14ac:dyDescent="0.2">
      <c r="A17" s="8" t="s">
        <v>406</v>
      </c>
      <c r="C17" s="1">
        <f>AVERAGE(B12:C12)</f>
        <v>17897000</v>
      </c>
      <c r="D17" t="e">
        <f t="shared" ref="D17:D18" ca="1" si="0">GetFormula(C17)</f>
        <v>#NAME?</v>
      </c>
    </row>
    <row r="18" spans="1:4" ht="15.75" x14ac:dyDescent="0.3">
      <c r="A18" s="50" t="s">
        <v>164</v>
      </c>
      <c r="B18" s="60"/>
      <c r="C18" s="35">
        <f>C16/C17</f>
        <v>6.2915572442308762E-2</v>
      </c>
      <c r="D18" t="e">
        <f t="shared" ca="1" si="0"/>
        <v>#NAME?</v>
      </c>
    </row>
    <row r="19" spans="1:4" x14ac:dyDescent="0.2">
      <c r="A19" s="8"/>
      <c r="C19" s="1"/>
    </row>
    <row r="20" spans="1:4" x14ac:dyDescent="0.2">
      <c r="A20" s="8" t="s">
        <v>165</v>
      </c>
      <c r="B20" s="1"/>
      <c r="C20" s="1">
        <f>'Page 528'!B9</f>
        <v>3103000</v>
      </c>
    </row>
    <row r="21" spans="1:4" x14ac:dyDescent="0.2">
      <c r="A21" s="8" t="s">
        <v>141</v>
      </c>
      <c r="B21" s="1"/>
      <c r="C21" s="1">
        <f>-'Page 528'!B10</f>
        <v>1132000</v>
      </c>
    </row>
    <row r="22" spans="1:4" ht="15.75" x14ac:dyDescent="0.3">
      <c r="A22" s="12" t="s">
        <v>19</v>
      </c>
      <c r="B22" s="60"/>
      <c r="C22" s="11">
        <f>C21/C20</f>
        <v>0.36480825008056722</v>
      </c>
      <c r="D22" t="e">
        <f ca="1">GetFormula(C22)</f>
        <v>#NAME?</v>
      </c>
    </row>
    <row r="24" spans="1:4" x14ac:dyDescent="0.2">
      <c r="A24" s="8" t="s">
        <v>429</v>
      </c>
      <c r="C24" s="1">
        <f>C4</f>
        <v>40665812.399999999</v>
      </c>
      <c r="D24" t="e">
        <f t="shared" ref="D24:D27" ca="1" si="1">GetFormula(C24)</f>
        <v>#NAME?</v>
      </c>
    </row>
    <row r="25" spans="1:4" ht="15.75" x14ac:dyDescent="0.3">
      <c r="A25" s="94" t="s">
        <v>430</v>
      </c>
      <c r="C25" s="1">
        <f>D43*1000</f>
        <v>2467000</v>
      </c>
      <c r="D25" t="e">
        <f t="shared" ca="1" si="1"/>
        <v>#NAME?</v>
      </c>
    </row>
    <row r="26" spans="1:4" x14ac:dyDescent="0.2">
      <c r="A26" s="8" t="s">
        <v>431</v>
      </c>
      <c r="C26" s="9">
        <f>D45</f>
        <v>5.2093253096140435E-2</v>
      </c>
      <c r="D26" t="e">
        <f t="shared" ca="1" si="1"/>
        <v>#NAME?</v>
      </c>
    </row>
    <row r="27" spans="1:4" ht="15.75" x14ac:dyDescent="0.3">
      <c r="A27" s="12" t="s">
        <v>168</v>
      </c>
      <c r="B27" s="50"/>
      <c r="C27" s="18">
        <f>C25*(1+C26)/C24+C26</f>
        <v>0.11591870996536503</v>
      </c>
      <c r="D27" t="e">
        <f t="shared" ca="1" si="1"/>
        <v>#NAME?</v>
      </c>
    </row>
    <row r="29" spans="1:4" x14ac:dyDescent="0.2">
      <c r="A29" s="12" t="s">
        <v>0</v>
      </c>
      <c r="B29" s="50"/>
      <c r="C29" s="11">
        <f>C4/C14*C27+C12/C14*C18*(1-C22)</f>
        <v>9.4462578687908152E-2</v>
      </c>
      <c r="D29" t="e">
        <f ca="1">GetFormula(C29)</f>
        <v>#NAME?</v>
      </c>
    </row>
    <row r="32" spans="1:4" ht="15.75" x14ac:dyDescent="0.25">
      <c r="A32" s="109" t="s">
        <v>426</v>
      </c>
      <c r="B32" s="109"/>
      <c r="C32" s="109"/>
      <c r="D32" s="109"/>
    </row>
    <row r="33" spans="1:5" s="7" customFormat="1" ht="25.5" x14ac:dyDescent="0.2">
      <c r="A33" s="15"/>
      <c r="B33" s="92" t="s">
        <v>425</v>
      </c>
      <c r="C33" s="92" t="s">
        <v>423</v>
      </c>
      <c r="D33" s="15" t="s">
        <v>424</v>
      </c>
    </row>
    <row r="34" spans="1:5" s="7" customFormat="1" x14ac:dyDescent="0.2">
      <c r="A34" s="14">
        <v>2004</v>
      </c>
      <c r="B34" s="89">
        <v>272</v>
      </c>
      <c r="C34" s="89">
        <v>1290</v>
      </c>
      <c r="D34" s="90">
        <f t="shared" ref="D34:D35" si="2">SUM(B34:C34)</f>
        <v>1562</v>
      </c>
      <c r="E34" t="e">
        <f ca="1">GetFormula(D34)</f>
        <v>#NAME?</v>
      </c>
    </row>
    <row r="35" spans="1:5" s="7" customFormat="1" x14ac:dyDescent="0.2">
      <c r="A35" s="14">
        <v>2005</v>
      </c>
      <c r="B35" s="89">
        <v>318</v>
      </c>
      <c r="C35" s="89">
        <v>1197</v>
      </c>
      <c r="D35" s="90">
        <f t="shared" si="2"/>
        <v>1515</v>
      </c>
      <c r="E35" t="e">
        <f ca="1">GetFormula(D35)</f>
        <v>#NAME?</v>
      </c>
    </row>
    <row r="36" spans="1:5" x14ac:dyDescent="0.2">
      <c r="A36" s="14">
        <v>2006</v>
      </c>
      <c r="B36" s="89">
        <v>380</v>
      </c>
      <c r="C36" s="89">
        <v>901</v>
      </c>
      <c r="D36" s="90">
        <f t="shared" ref="D36:D43" si="3">SUM(B36:C36)</f>
        <v>1281</v>
      </c>
      <c r="E36" s="7"/>
    </row>
    <row r="37" spans="1:5" x14ac:dyDescent="0.2">
      <c r="A37" s="14">
        <v>2007</v>
      </c>
      <c r="B37" s="89">
        <v>442</v>
      </c>
      <c r="C37" s="89">
        <v>2477</v>
      </c>
      <c r="D37" s="90">
        <f t="shared" si="3"/>
        <v>2919</v>
      </c>
      <c r="E37" s="7"/>
    </row>
    <row r="38" spans="1:5" x14ac:dyDescent="0.2">
      <c r="A38" s="14">
        <v>2008</v>
      </c>
      <c r="B38" s="89">
        <v>465</v>
      </c>
      <c r="C38" s="89">
        <v>2815</v>
      </c>
      <c r="D38" s="90">
        <f t="shared" si="3"/>
        <v>3280</v>
      </c>
      <c r="E38" s="7"/>
    </row>
    <row r="39" spans="1:5" x14ac:dyDescent="0.2">
      <c r="A39" s="14">
        <v>2009</v>
      </c>
      <c r="B39" s="89">
        <v>496</v>
      </c>
      <c r="C39" s="89">
        <v>423</v>
      </c>
      <c r="D39" s="90">
        <f t="shared" si="3"/>
        <v>919</v>
      </c>
      <c r="E39" s="7"/>
    </row>
    <row r="40" spans="1:5" x14ac:dyDescent="0.2">
      <c r="A40" s="14">
        <v>2010</v>
      </c>
      <c r="B40" s="89">
        <v>609</v>
      </c>
      <c r="C40" s="89">
        <v>2452</v>
      </c>
      <c r="D40" s="90">
        <f t="shared" si="3"/>
        <v>3061</v>
      </c>
      <c r="E40" s="7"/>
    </row>
    <row r="41" spans="1:5" x14ac:dyDescent="0.2">
      <c r="A41" s="14">
        <v>2011</v>
      </c>
      <c r="B41" s="89">
        <v>750</v>
      </c>
      <c r="C41" s="89">
        <v>1842</v>
      </c>
      <c r="D41" s="90">
        <f t="shared" si="3"/>
        <v>2592</v>
      </c>
      <c r="E41" s="7"/>
    </row>
    <row r="42" spans="1:5" x14ac:dyDescent="0.2">
      <c r="A42" s="14">
        <v>2012</v>
      </c>
      <c r="B42" s="89">
        <v>869</v>
      </c>
      <c r="C42" s="89">
        <v>1875</v>
      </c>
      <c r="D42" s="90">
        <f t="shared" si="3"/>
        <v>2744</v>
      </c>
      <c r="E42" s="7"/>
    </row>
    <row r="43" spans="1:5" x14ac:dyDescent="0.2">
      <c r="A43" s="14">
        <v>2013</v>
      </c>
      <c r="B43" s="89">
        <v>1006</v>
      </c>
      <c r="C43" s="89">
        <v>1461</v>
      </c>
      <c r="D43" s="90">
        <f t="shared" si="3"/>
        <v>2467</v>
      </c>
      <c r="E43" s="7"/>
    </row>
    <row r="44" spans="1:5" x14ac:dyDescent="0.2">
      <c r="A44" s="93" t="s">
        <v>427</v>
      </c>
      <c r="B44" s="88"/>
      <c r="C44" s="88"/>
    </row>
    <row r="45" spans="1:5" x14ac:dyDescent="0.2">
      <c r="C45" s="47"/>
      <c r="D45" s="91">
        <f>(D43/D34)^(1/(COUNT(D34:D43)-1))-1</f>
        <v>5.2093253096140435E-2</v>
      </c>
      <c r="E45" t="e">
        <f ca="1">GetFormula(D45)</f>
        <v>#NAME?</v>
      </c>
    </row>
  </sheetData>
  <mergeCells count="2">
    <mergeCell ref="A32:D32"/>
    <mergeCell ref="A1:D1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Index</vt:lpstr>
      <vt:lpstr>Page 511 - figure</vt:lpstr>
      <vt:lpstr>Page 511</vt:lpstr>
      <vt:lpstr>Page 512</vt:lpstr>
      <vt:lpstr>Page 514</vt:lpstr>
      <vt:lpstr>Page 515</vt:lpstr>
      <vt:lpstr>Page 516</vt:lpstr>
      <vt:lpstr>Page 518</vt:lpstr>
      <vt:lpstr>Page 520-521</vt:lpstr>
      <vt:lpstr>Page 521 bottom</vt:lpstr>
      <vt:lpstr>Page 522</vt:lpstr>
      <vt:lpstr>Page 524</vt:lpstr>
      <vt:lpstr>Page 525</vt:lpstr>
      <vt:lpstr>Page 528</vt:lpstr>
      <vt:lpstr>Page 529-531</vt:lpstr>
      <vt:lpstr>Page 532</vt:lpstr>
      <vt:lpstr>Page 533</vt:lpstr>
      <vt:lpstr>Page 535</vt:lpstr>
    </vt:vector>
  </TitlesOfParts>
  <Company>University of Pennsylvania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Benninga</dc:creator>
  <cp:lastModifiedBy>BALL, Alison</cp:lastModifiedBy>
  <cp:lastPrinted>2003-10-13T10:39:21Z</cp:lastPrinted>
  <dcterms:created xsi:type="dcterms:W3CDTF">2002-03-30T23:36:58Z</dcterms:created>
  <dcterms:modified xsi:type="dcterms:W3CDTF">2017-08-11T17:37:01Z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PFE3, Chapter16 - stocks valuation (1).xlsm</vt:lpwstr>
  </property>
</Properties>
</file>